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415" windowHeight="5565" activeTab="2"/>
  </bookViews>
  <sheets>
    <sheet name="Instit Subscr" sheetId="1" r:id="rId1"/>
    <sheet name="IFWA fees" sheetId="2" r:id="rId2"/>
    <sheet name="Members" sheetId="3" r:id="rId3"/>
    <sheet name="amount published" sheetId="4" r:id="rId4"/>
    <sheet name="WebUse" sheetId="5" r:id="rId5"/>
  </sheets>
  <definedNames/>
  <calcPr fullCalcOnLoad="1"/>
</workbook>
</file>

<file path=xl/sharedStrings.xml><?xml version="1.0" encoding="utf-8"?>
<sst xmlns="http://schemas.openxmlformats.org/spreadsheetml/2006/main" count="165" uniqueCount="108">
  <si>
    <t>ESA sum</t>
  </si>
  <si>
    <t>Membership</t>
  </si>
  <si>
    <t>Year</t>
  </si>
  <si>
    <t>ESA student</t>
  </si>
  <si>
    <t>ESA full</t>
  </si>
  <si>
    <t>CPI</t>
  </si>
  <si>
    <t>Sum</t>
  </si>
  <si>
    <t>constant</t>
  </si>
  <si>
    <t>1998 $$</t>
  </si>
  <si>
    <t>FES full</t>
  </si>
  <si>
    <t>FES sustaining</t>
  </si>
  <si>
    <t>FES student</t>
  </si>
  <si>
    <t>FES sum</t>
  </si>
  <si>
    <t>Relative</t>
  </si>
  <si>
    <t>Absolute</t>
  </si>
  <si>
    <t>full+student</t>
  </si>
  <si>
    <t>IFWA fees</t>
  </si>
  <si>
    <t>Amount published</t>
  </si>
  <si>
    <t>corrected to big pages</t>
  </si>
  <si>
    <t>issue</t>
  </si>
  <si>
    <t>year</t>
  </si>
  <si>
    <t>no. articles</t>
  </si>
  <si>
    <t>no. notes</t>
  </si>
  <si>
    <t>IFWA $$</t>
  </si>
  <si>
    <t>content</t>
  </si>
  <si>
    <t>total</t>
  </si>
  <si>
    <t>cost of</t>
  </si>
  <si>
    <t>net IFWA</t>
  </si>
  <si>
    <t>pages</t>
  </si>
  <si>
    <t>e-version</t>
  </si>
  <si>
    <t>income</t>
  </si>
  <si>
    <t>March</t>
  </si>
  <si>
    <t>June</t>
  </si>
  <si>
    <t>Sept</t>
  </si>
  <si>
    <t>Dec</t>
  </si>
  <si>
    <t>SUM</t>
  </si>
  <si>
    <t>IFWA$$ gross income per page</t>
  </si>
  <si>
    <t>IFWA$$ net income per page</t>
  </si>
  <si>
    <t>Gross IFWA income</t>
  </si>
  <si>
    <t>Cost per page</t>
  </si>
  <si>
    <t>Cost of e-version</t>
  </si>
  <si>
    <t>PDF</t>
  </si>
  <si>
    <t>Net IFWA income</t>
  </si>
  <si>
    <t>HTML</t>
  </si>
  <si>
    <t>No. library subscriptions in 1994=185</t>
  </si>
  <si>
    <t>2001 price of library subscriptions</t>
  </si>
  <si>
    <t>2001 potential revenue from 1994 library subscriptions</t>
  </si>
  <si>
    <t>2001 net IFWA income</t>
  </si>
  <si>
    <t>actual 2001 library subscriptions</t>
  </si>
  <si>
    <t>library subscriptions loss since 1994</t>
  </si>
  <si>
    <t>IFWA net income needed in 2001 to compensate</t>
  </si>
  <si>
    <t>Excess IFWA net income</t>
  </si>
  <si>
    <t>Break-even level of institutional subscriptions</t>
  </si>
  <si>
    <t>(reg+family)</t>
  </si>
  <si>
    <t>FES</t>
  </si>
  <si>
    <t>ESA</t>
  </si>
  <si>
    <t>Membership revenues</t>
  </si>
  <si>
    <t>art &amp; note</t>
  </si>
  <si>
    <t>2001 $$</t>
  </si>
  <si>
    <t>BioOne</t>
  </si>
  <si>
    <t>(incl. trns)</t>
  </si>
  <si>
    <t>overall average</t>
  </si>
  <si>
    <t>?</t>
  </si>
  <si>
    <t>pre-IFWA-fees average</t>
  </si>
  <si>
    <t>post-IFWA-fees average</t>
  </si>
  <si>
    <t>Florida Entomologist</t>
  </si>
  <si>
    <t>Institutional subscriptions</t>
  </si>
  <si>
    <t>Price ($)</t>
  </si>
  <si>
    <t>Raw $$</t>
  </si>
  <si>
    <t>1994 $$</t>
  </si>
  <si>
    <t>est.</t>
  </si>
  <si>
    <t>Annual % change</t>
  </si>
  <si>
    <t>Deviations from 1994 numbers</t>
  </si>
  <si>
    <t>FlaENT</t>
  </si>
  <si>
    <t>revenues</t>
  </si>
  <si>
    <t>2001 summary</t>
  </si>
  <si>
    <t>Inst. Subsrpt</t>
  </si>
  <si>
    <t>Institutional subscriptions (paper)</t>
  </si>
  <si>
    <t>sum</t>
  </si>
  <si>
    <t>JEE</t>
  </si>
  <si>
    <t>Annals</t>
  </si>
  <si>
    <t>EE</t>
  </si>
  <si>
    <t>JME</t>
  </si>
  <si>
    <t>Entomological Society of America journals</t>
  </si>
  <si>
    <t>(sum estimated; can't be 2856!)</t>
  </si>
  <si>
    <t>FES$$</t>
  </si>
  <si>
    <t>ESA journals</t>
  </si>
  <si>
    <t>$$ from instit. subscripts</t>
  </si>
  <si>
    <t>No.</t>
  </si>
  <si>
    <t>start-up</t>
  </si>
  <si>
    <t>fees</t>
  </si>
  <si>
    <t>new</t>
  </si>
  <si>
    <t>2001-2003 averages</t>
  </si>
  <si>
    <t>estimated</t>
  </si>
  <si>
    <t>Florida Entomologist on BioOne</t>
  </si>
  <si>
    <t>Abstracts</t>
  </si>
  <si>
    <t>Documents</t>
  </si>
  <si>
    <t>no.</t>
  </si>
  <si>
    <t>articles</t>
  </si>
  <si>
    <t>notes</t>
  </si>
  <si>
    <t>PDF per</t>
  </si>
  <si>
    <t>page</t>
  </si>
  <si>
    <t>Sum per</t>
  </si>
  <si>
    <t>10 pages</t>
  </si>
  <si>
    <t>FES full +</t>
  </si>
  <si>
    <t>student</t>
  </si>
  <si>
    <t>and notes</t>
  </si>
  <si>
    <t>cum. art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</si>
</sst>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_);_(* \(#,##0\);_(* &quot;-&quot;??_);_(@_)"/>
    <numFmt numFmtId="167" formatCode="&quot;$&quot;#,##0.00"/>
    <numFmt numFmtId="168" formatCode="&quot;$&quot;#,##0"/>
    <numFmt numFmtId="169" formatCode="mm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9">
    <font>
      <sz val="10"/>
      <name val="Arial"/>
      <family val="0"/>
    </font>
    <font>
      <b/>
      <sz val="10"/>
      <name val="Arial"/>
      <family val="0"/>
    </font>
    <font>
      <sz val="1.75"/>
      <name val="Arial"/>
      <family val="0"/>
    </font>
    <font>
      <sz val="1.5"/>
      <name val="Arial"/>
      <family val="2"/>
    </font>
    <font>
      <b/>
      <i/>
      <sz val="1.25"/>
      <color indexed="17"/>
      <name val="Arial"/>
      <family val="2"/>
    </font>
    <font>
      <sz val="1.25"/>
      <color indexed="10"/>
      <name val="Arial"/>
      <family val="2"/>
    </font>
    <font>
      <sz val="1.25"/>
      <name val="Arial"/>
      <family val="2"/>
    </font>
    <font>
      <b/>
      <i/>
      <sz val="1.25"/>
      <color indexed="10"/>
      <name val="Arial"/>
      <family val="2"/>
    </font>
    <font>
      <i/>
      <sz val="1"/>
      <color indexed="10"/>
      <name val="Arial"/>
      <family val="2"/>
    </font>
    <font>
      <sz val="11.25"/>
      <name val="Arial"/>
      <family val="0"/>
    </font>
    <font>
      <sz val="12"/>
      <name val="Arial"/>
      <family val="0"/>
    </font>
    <font>
      <sz val="10.75"/>
      <name val="Arial"/>
      <family val="2"/>
    </font>
    <font>
      <sz val="11.5"/>
      <name val="Arial"/>
      <family val="2"/>
    </font>
    <font>
      <sz val="11.75"/>
      <name val="Arial"/>
      <family val="0"/>
    </font>
    <font>
      <sz val="14.75"/>
      <name val="Arial"/>
      <family val="0"/>
    </font>
    <font>
      <sz val="16"/>
      <name val="Arial"/>
      <family val="0"/>
    </font>
    <font>
      <sz val="10"/>
      <color indexed="10"/>
      <name val="Arial"/>
      <family val="2"/>
    </font>
    <font>
      <sz val="10.75"/>
      <color indexed="8"/>
      <name val="Arial"/>
      <family val="2"/>
    </font>
    <font>
      <b/>
      <i/>
      <sz val="10"/>
      <color indexed="10"/>
      <name val="Arial"/>
      <family val="2"/>
    </font>
    <font>
      <i/>
      <sz val="8.25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8.25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7.25"/>
      <name val="Arial"/>
      <family val="0"/>
    </font>
    <font>
      <sz val="18.25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7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right"/>
    </xf>
    <xf numFmtId="167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7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"/>
          <c:w val="0.8965"/>
          <c:h val="0.9905"/>
        </c:manualLayout>
      </c:layout>
      <c:lineChart>
        <c:grouping val="standard"/>
        <c:varyColors val="0"/>
        <c:ser>
          <c:idx val="0"/>
          <c:order val="0"/>
          <c:tx>
            <c:v>Florida Entomologist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Subscr'!$A$19:$A$29</c:f>
              <c:numCache/>
            </c:numRef>
          </c:cat>
          <c:val>
            <c:numRef>
              <c:f>'Instit Subscr'!$B$19:$B$29</c:f>
              <c:numCache/>
            </c:numRef>
          </c:val>
          <c:smooth val="0"/>
        </c:ser>
        <c:ser>
          <c:idx val="5"/>
          <c:order val="1"/>
          <c:tx>
            <c:v>FES revenues (constant $$)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Subscr'!$A$19:$A$29</c:f>
              <c:numCache/>
            </c:numRef>
          </c:cat>
          <c:val>
            <c:numRef>
              <c:f>'Instit Subscr'!$G$19:$G$29</c:f>
              <c:numCache/>
            </c:numRef>
          </c:val>
          <c:smooth val="0"/>
        </c:ser>
        <c:ser>
          <c:idx val="1"/>
          <c:order val="2"/>
          <c:tx>
            <c:v>Sum of four ESA journals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'Instit Subscr'!$I$19:$I$28</c:f>
              <c:numCache/>
            </c:numRef>
          </c:val>
          <c:smooth val="0"/>
        </c:ser>
        <c:marker val="1"/>
        <c:axId val="19024445"/>
        <c:axId val="37002278"/>
      </c:lineChart>
      <c:catAx>
        <c:axId val="1902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002278"/>
        <c:crossesAt val="-40"/>
        <c:auto val="1"/>
        <c:lblOffset val="100"/>
        <c:noMultiLvlLbl val="0"/>
      </c:catAx>
      <c:valAx>
        <c:axId val="37002278"/>
        <c:scaling>
          <c:orientation val="minMax"/>
          <c:max val="0.12"/>
          <c:min val="-0.6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24445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42"/>
          <c:y val="0.6345"/>
          <c:w val="0.4225"/>
          <c:h val="0.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0.03775"/>
          <c:w val="0.8635"/>
          <c:h val="0.92475"/>
        </c:manualLayout>
      </c:layout>
      <c:barChart>
        <c:barDir val="col"/>
        <c:grouping val="stacked"/>
        <c:varyColors val="0"/>
        <c:ser>
          <c:idx val="0"/>
          <c:order val="0"/>
          <c:tx>
            <c:v>Library subscriptions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'IFWA fees'!$S$4:$S$14</c:f>
              <c:numCache/>
            </c:numRef>
          </c:cat>
          <c:val>
            <c:numRef>
              <c:f>'IFWA fees'!$V$4:$V$14</c:f>
              <c:numCache/>
            </c:numRef>
          </c:val>
        </c:ser>
        <c:ser>
          <c:idx val="1"/>
          <c:order val="1"/>
          <c:tx>
            <c:v>Net IFWA fees</c:v>
          </c:tx>
          <c:spPr>
            <a:pattFill prst="nar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pattFill prst="nar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9"/>
            <c:invertIfNegative val="0"/>
            <c:spPr>
              <a:pattFill prst="nar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numRef>
              <c:f>'IFWA fees'!$S$4:$S$14</c:f>
              <c:numCache/>
            </c:numRef>
          </c:cat>
          <c:val>
            <c:numRef>
              <c:f>'IFWA fees'!$Y$4:$Y$14</c:f>
              <c:numCache/>
            </c:numRef>
          </c:val>
        </c:ser>
        <c:ser>
          <c:idx val="2"/>
          <c:order val="2"/>
          <c:tx>
            <c:v>Start-up costs for BioOne</c:v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'IFWA fees'!$S$4:$S$14</c:f>
              <c:numCache/>
            </c:numRef>
          </c:cat>
          <c:val>
            <c:numRef>
              <c:f>'IFWA fees'!$X$4:$X$13</c:f>
              <c:numCache/>
            </c:numRef>
          </c:val>
        </c:ser>
        <c:overlap val="100"/>
        <c:axId val="64585047"/>
        <c:axId val="44394512"/>
      </c:barChart>
      <c:catAx>
        <c:axId val="64585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4394512"/>
        <c:crosses val="autoZero"/>
        <c:auto val="1"/>
        <c:lblOffset val="100"/>
        <c:noMultiLvlLbl val="0"/>
      </c:catAx>
      <c:valAx>
        <c:axId val="44394512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Revenues (constant $$)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4585047"/>
        <c:crossesAt val="1"/>
        <c:crossBetween val="between"/>
        <c:dispUnits/>
        <c:majorUnit val="2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675"/>
          <c:y val="0.0975"/>
          <c:w val="0.3415"/>
          <c:h val="0.20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25"/>
          <c:y val="0.0425"/>
          <c:w val="0.8595"/>
          <c:h val="0.917"/>
        </c:manualLayout>
      </c:layout>
      <c:barChart>
        <c:barDir val="col"/>
        <c:grouping val="stacked"/>
        <c:varyColors val="0"/>
        <c:ser>
          <c:idx val="0"/>
          <c:order val="0"/>
          <c:tx>
            <c:v>Library subscriptions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'IFWA fees'!$S$4:$S$14</c:f>
              <c:numCache/>
            </c:numRef>
          </c:cat>
          <c:val>
            <c:numRef>
              <c:f>'IFWA fees'!$V$4:$V$14</c:f>
              <c:numCache/>
            </c:numRef>
          </c:val>
        </c:ser>
        <c:ser>
          <c:idx val="1"/>
          <c:order val="1"/>
          <c:tx>
            <c:v>Net IFWA fees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numRef>
              <c:f>'IFWA fees'!$S$4:$S$14</c:f>
              <c:numCache/>
            </c:numRef>
          </c:cat>
          <c:val>
            <c:numRef>
              <c:f>'IFWA fees'!$Y$4:$Y$14</c:f>
              <c:numCache/>
            </c:numRef>
          </c:val>
        </c:ser>
        <c:ser>
          <c:idx val="2"/>
          <c:order val="2"/>
          <c:tx>
            <c:v>Start-up costs for BioOne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'IFWA fees'!$S$4:$S$14</c:f>
              <c:numCache/>
            </c:numRef>
          </c:cat>
          <c:val>
            <c:numRef>
              <c:f>'IFWA fees'!$X$4:$X$13</c:f>
              <c:numCache/>
            </c:numRef>
          </c:val>
        </c:ser>
        <c:overlap val="100"/>
        <c:gapWidth val="100"/>
        <c:axId val="64006289"/>
        <c:axId val="39185690"/>
      </c:barChart>
      <c:catAx>
        <c:axId val="64006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185690"/>
        <c:crosses val="autoZero"/>
        <c:auto val="1"/>
        <c:lblOffset val="100"/>
        <c:noMultiLvlLbl val="0"/>
      </c:catAx>
      <c:valAx>
        <c:axId val="39185690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Revenues (constant $$)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006289"/>
        <c:crossesAt val="1"/>
        <c:crossBetween val="between"/>
        <c:dispUnits/>
        <c:majorUnit val="2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075"/>
          <c:y val="0.09375"/>
          <c:w val="0.38525"/>
          <c:h val="0.1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Members!#REF!</c:f>
              <c:strCache>
                <c:ptCount val="1"/>
                <c:pt idx="0">
                  <c:v>FlaENT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Members!#REF!</c:f>
              <c:str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Members!#REF!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Members!#REF!</c:f>
              <c:strCache>
                <c:ptCount val="1"/>
                <c:pt idx="0">
                  <c:v>JEE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Members!#REF!</c:f>
              <c:str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Members!#REF!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Members!#REF!</c:f>
              <c:strCache>
                <c:ptCount val="1"/>
                <c:pt idx="0">
                  <c:v>Annals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Members!#REF!</c:f>
              <c:str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Members!#REF!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Members!#REF!</c:f>
              <c:strCache>
                <c:ptCount val="1"/>
                <c:pt idx="0">
                  <c:v>EE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Members!#REF!</c:f>
              <c:str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Members!#REF!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JME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Members!#REF!</c:f>
              <c:str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Members!#REF!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FE$$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Members!#REF!</c:f>
              <c:str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Members!#REF!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17126891"/>
        <c:axId val="19924292"/>
      </c:lineChart>
      <c:catAx>
        <c:axId val="17126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19924292"/>
        <c:crossesAt val="-40"/>
        <c:auto val="1"/>
        <c:lblOffset val="100"/>
        <c:noMultiLvlLbl val="0"/>
      </c:catAx>
      <c:valAx>
        <c:axId val="19924292"/>
        <c:scaling>
          <c:orientation val="minMax"/>
          <c:max val="0.12"/>
          <c:min val="-0.45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17126891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85"/>
          <c:w val="0.92475"/>
          <c:h val="0.943"/>
        </c:manualLayout>
      </c:layout>
      <c:lineChart>
        <c:grouping val="standard"/>
        <c:varyColors val="0"/>
        <c:ser>
          <c:idx val="0"/>
          <c:order val="0"/>
          <c:tx>
            <c:v>FES full members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Members!$A$16:$A$22</c:f>
              <c:numCache/>
            </c:numRef>
          </c:cat>
          <c:val>
            <c:numRef>
              <c:f>Members!$B$16:$B$22</c:f>
              <c:numCache/>
            </c:numRef>
          </c:val>
          <c:smooth val="0"/>
        </c:ser>
        <c:ser>
          <c:idx val="1"/>
          <c:order val="1"/>
          <c:tx>
            <c:v>FES full + student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Members!$A$16:$A$22</c:f>
              <c:numCache/>
            </c:numRef>
          </c:cat>
          <c:val>
            <c:numRef>
              <c:f>Members!$F$16:$F$22</c:f>
              <c:numCache/>
            </c:numRef>
          </c:val>
          <c:smooth val="0"/>
        </c:ser>
        <c:ser>
          <c:idx val="2"/>
          <c:order val="2"/>
          <c:tx>
            <c:v>ESA full members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Members!$A$16:$A$22</c:f>
              <c:numCache/>
            </c:numRef>
          </c:cat>
          <c:val>
            <c:numRef>
              <c:f>Members!$H$16:$H$21</c:f>
              <c:numCache/>
            </c:numRef>
          </c:val>
          <c:smooth val="0"/>
        </c:ser>
        <c:ser>
          <c:idx val="3"/>
          <c:order val="3"/>
          <c:tx>
            <c:v>ESA full + student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Members!$A$16:$A$22</c:f>
              <c:numCache/>
            </c:numRef>
          </c:cat>
          <c:val>
            <c:numRef>
              <c:f>Members!$I$16:$I$21</c:f>
              <c:numCache/>
            </c:numRef>
          </c:val>
          <c:smooth val="0"/>
        </c:ser>
        <c:ser>
          <c:idx val="4"/>
          <c:order val="4"/>
          <c:tx>
            <c:v>FES membership revenues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Members!$A$16:$A$22</c:f>
              <c:numCache/>
            </c:numRef>
          </c:cat>
          <c:val>
            <c:numRef>
              <c:f>Members!$P$15:$P$20</c:f>
              <c:numCache/>
            </c:numRef>
          </c:val>
          <c:smooth val="0"/>
        </c:ser>
        <c:marker val="1"/>
        <c:axId val="45100901"/>
        <c:axId val="3254926"/>
      </c:lineChart>
      <c:catAx>
        <c:axId val="45100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254926"/>
        <c:crosses val="autoZero"/>
        <c:auto val="1"/>
        <c:lblOffset val="100"/>
        <c:noMultiLvlLbl val="0"/>
      </c:catAx>
      <c:valAx>
        <c:axId val="3254926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Membership &amp; revenues (relative)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51009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25"/>
          <c:y val="0.66675"/>
          <c:w val="0.32975"/>
          <c:h val="0.19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339966"/>
              </a:solidFill>
            </c:spPr>
          </c:dPt>
          <c:cat>
            <c:numRef>
              <c:f>'amount published'!$A$5:$A$14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'amount published'!$E$5:$E$14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9294335"/>
        <c:axId val="62322424"/>
      </c:barChart>
      <c:catAx>
        <c:axId val="29294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22424"/>
        <c:crosses val="autoZero"/>
        <c:auto val="1"/>
        <c:lblOffset val="100"/>
        <c:noMultiLvlLbl val="0"/>
      </c:catAx>
      <c:valAx>
        <c:axId val="62322424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Pages published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94335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.02625"/>
          <c:w val="0.90225"/>
          <c:h val="0.9475"/>
        </c:manualLayout>
      </c:layout>
      <c:lineChart>
        <c:grouping val="standard"/>
        <c:varyColors val="0"/>
        <c:ser>
          <c:idx val="0"/>
          <c:order val="0"/>
          <c:tx>
            <c:v>Total downloads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WebUse!$A$4:$A$15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WebUse!$H$4:$H$15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PDF downloads x 10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WebUse!$A$4:$A$15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WebUse!$G$4:$G$15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4030905"/>
        <c:axId val="14951554"/>
      </c:lineChart>
      <c:catAx>
        <c:axId val="24030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4951554"/>
        <c:crosses val="autoZero"/>
        <c:auto val="1"/>
        <c:lblOffset val="100"/>
        <c:noMultiLvlLbl val="0"/>
      </c:catAx>
      <c:valAx>
        <c:axId val="14951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Downloads per page posted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0309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9"/>
          <c:y val="0.120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0.1605</cdr:x>
      <cdr:y>0.0145</cdr:y>
    </cdr:from>
    <cdr:to>
      <cdr:x>0.175</cdr:x>
      <cdr:y>0.08625</cdr:y>
    </cdr:to>
    <cdr:sp>
      <cdr:nvSpPr>
        <cdr:cNvPr id="1" name="TextBox 2"/>
        <cdr:cNvSpPr txBox="1">
          <a:spLocks noChangeArrowheads="1"/>
        </cdr:cNvSpPr>
      </cdr:nvSpPr>
      <cdr:spPr>
        <a:xfrm>
          <a:off x="838200" y="3810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0.285</cdr:x>
      <cdr:y>0.54775</cdr:y>
    </cdr:from>
    <cdr:to>
      <cdr:x>0.2995</cdr:x>
      <cdr:y>0.6195</cdr:y>
    </cdr:to>
    <cdr:sp>
      <cdr:nvSpPr>
        <cdr:cNvPr id="2" name="TextBox 3"/>
        <cdr:cNvSpPr txBox="1">
          <a:spLocks noChangeArrowheads="1"/>
        </cdr:cNvSpPr>
      </cdr:nvSpPr>
      <cdr:spPr>
        <a:xfrm>
          <a:off x="1495425" y="166687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0.25875</cdr:x>
      <cdr:y>0.3545</cdr:y>
    </cdr:from>
    <cdr:to>
      <cdr:x>0.27325</cdr:x>
      <cdr:y>0.42925</cdr:y>
    </cdr:to>
    <cdr:sp>
      <cdr:nvSpPr>
        <cdr:cNvPr id="3" name="TextBox 4"/>
        <cdr:cNvSpPr txBox="1">
          <a:spLocks noChangeArrowheads="1"/>
        </cdr:cNvSpPr>
      </cdr:nvSpPr>
      <cdr:spPr>
        <a:xfrm>
          <a:off x="1352550" y="1076325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0.16125</cdr:x>
      <cdr:y>0.55725</cdr:y>
    </cdr:from>
    <cdr:to>
      <cdr:x>0.17575</cdr:x>
      <cdr:y>0.629</cdr:y>
    </cdr:to>
    <cdr:sp>
      <cdr:nvSpPr>
        <cdr:cNvPr id="4" name="TextBox 5"/>
        <cdr:cNvSpPr txBox="1">
          <a:spLocks noChangeArrowheads="1"/>
        </cdr:cNvSpPr>
      </cdr:nvSpPr>
      <cdr:spPr>
        <a:xfrm>
          <a:off x="838200" y="169545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0.68325</cdr:x>
      <cdr:y>0.49125</cdr:y>
    </cdr:from>
    <cdr:to>
      <cdr:x>0.69775</cdr:x>
      <cdr:y>0.55675</cdr:y>
    </cdr:to>
    <cdr:sp>
      <cdr:nvSpPr>
        <cdr:cNvPr id="5" name="TextBox 6"/>
        <cdr:cNvSpPr txBox="1">
          <a:spLocks noChangeArrowheads="1"/>
        </cdr:cNvSpPr>
      </cdr:nvSpPr>
      <cdr:spPr>
        <a:xfrm>
          <a:off x="3581400" y="14954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0.71025</cdr:x>
      <cdr:y>0.7165</cdr:y>
    </cdr:from>
    <cdr:to>
      <cdr:x>0.72475</cdr:x>
      <cdr:y>0.782</cdr:y>
    </cdr:to>
    <cdr:sp>
      <cdr:nvSpPr>
        <cdr:cNvPr id="6" name="TextBox 7"/>
        <cdr:cNvSpPr txBox="1">
          <a:spLocks noChangeArrowheads="1"/>
        </cdr:cNvSpPr>
      </cdr:nvSpPr>
      <cdr:spPr>
        <a:xfrm>
          <a:off x="3724275" y="21812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0.65525</cdr:x>
      <cdr:y>0.7935</cdr:y>
    </cdr:from>
    <cdr:to>
      <cdr:x>0.66975</cdr:x>
      <cdr:y>0.859</cdr:y>
    </cdr:to>
    <cdr:sp>
      <cdr:nvSpPr>
        <cdr:cNvPr id="7" name="TextBox 8"/>
        <cdr:cNvSpPr txBox="1">
          <a:spLocks noChangeArrowheads="1"/>
        </cdr:cNvSpPr>
      </cdr:nvSpPr>
      <cdr:spPr>
        <a:xfrm>
          <a:off x="3438525" y="24193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0.69875</cdr:x>
      <cdr:y>0.612</cdr:y>
    </cdr:from>
    <cdr:to>
      <cdr:x>0.71325</cdr:x>
      <cdr:y>0.6775</cdr:y>
    </cdr:to>
    <cdr:sp>
      <cdr:nvSpPr>
        <cdr:cNvPr id="8" name="TextBox 9"/>
        <cdr:cNvSpPr txBox="1">
          <a:spLocks noChangeArrowheads="1"/>
        </cdr:cNvSpPr>
      </cdr:nvSpPr>
      <cdr:spPr>
        <a:xfrm>
          <a:off x="3667125" y="18669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0.47825</cdr:x>
      <cdr:y>0.7755</cdr:y>
    </cdr:from>
    <cdr:to>
      <cdr:x>0.49275</cdr:x>
      <cdr:y>0.844</cdr:y>
    </cdr:to>
    <cdr:sp>
      <cdr:nvSpPr>
        <cdr:cNvPr id="9" name="TextBox 10"/>
        <cdr:cNvSpPr txBox="1">
          <a:spLocks noChangeArrowheads="1"/>
        </cdr:cNvSpPr>
      </cdr:nvSpPr>
      <cdr:spPr>
        <a:xfrm>
          <a:off x="2505075" y="2362200"/>
          <a:ext cx="76200" cy="2095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0.5865</cdr:x>
      <cdr:y>0.59225</cdr:y>
    </cdr:from>
    <cdr:to>
      <cdr:x>0.601</cdr:x>
      <cdr:y>0.65775</cdr:y>
    </cdr:to>
    <cdr:sp>
      <cdr:nvSpPr>
        <cdr:cNvPr id="10" name="TextBox 11"/>
        <cdr:cNvSpPr txBox="1">
          <a:spLocks noChangeArrowheads="1"/>
        </cdr:cNvSpPr>
      </cdr:nvSpPr>
      <cdr:spPr>
        <a:xfrm>
          <a:off x="3076575" y="1809750"/>
          <a:ext cx="76200" cy="2000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0.525</cdr:x>
      <cdr:y>0.57775</cdr:y>
    </cdr:from>
    <cdr:to>
      <cdr:x>0.5395</cdr:x>
      <cdr:y>0.64325</cdr:y>
    </cdr:to>
    <cdr:sp>
      <cdr:nvSpPr>
        <cdr:cNvPr id="11" name="TextBox 12"/>
        <cdr:cNvSpPr txBox="1">
          <a:spLocks noChangeArrowheads="1"/>
        </cdr:cNvSpPr>
      </cdr:nvSpPr>
      <cdr:spPr>
        <a:xfrm>
          <a:off x="2752725" y="1762125"/>
          <a:ext cx="76200" cy="2000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0.5865</cdr:x>
      <cdr:y>0.7165</cdr:y>
    </cdr:from>
    <cdr:to>
      <cdr:x>0.601</cdr:x>
      <cdr:y>0.782</cdr:y>
    </cdr:to>
    <cdr:sp>
      <cdr:nvSpPr>
        <cdr:cNvPr id="12" name="TextBox 13"/>
        <cdr:cNvSpPr txBox="1">
          <a:spLocks noChangeArrowheads="1"/>
        </cdr:cNvSpPr>
      </cdr:nvSpPr>
      <cdr:spPr>
        <a:xfrm>
          <a:off x="3076575" y="2181225"/>
          <a:ext cx="76200" cy="2000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0.453</cdr:x>
      <cdr:y>0.30825</cdr:y>
    </cdr:from>
    <cdr:to>
      <cdr:x>0.4675</cdr:x>
      <cdr:y>0.383</cdr:y>
    </cdr:to>
    <cdr:sp>
      <cdr:nvSpPr>
        <cdr:cNvPr id="13" name="TextBox 14"/>
        <cdr:cNvSpPr txBox="1">
          <a:spLocks noChangeArrowheads="1"/>
        </cdr:cNvSpPr>
      </cdr:nvSpPr>
      <cdr:spPr>
        <a:xfrm>
          <a:off x="2371725" y="933450"/>
          <a:ext cx="76200" cy="2286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0.16125</cdr:x>
      <cdr:y>0.59225</cdr:y>
    </cdr:from>
    <cdr:to>
      <cdr:x>0.5205</cdr:x>
      <cdr:y>0.66075</cdr:y>
    </cdr:to>
    <cdr:sp>
      <cdr:nvSpPr>
        <cdr:cNvPr id="14" name="TextBox 15"/>
        <cdr:cNvSpPr txBox="1">
          <a:spLocks noChangeArrowheads="1"/>
        </cdr:cNvSpPr>
      </cdr:nvSpPr>
      <cdr:spPr>
        <a:xfrm>
          <a:off x="838200" y="1809750"/>
          <a:ext cx="1885950" cy="2095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Institutional, paper subscriptions</a:t>
          </a:r>
        </a:p>
      </cdr:txBody>
    </cdr:sp>
  </cdr:relSizeAnchor>
  <cdr:relSizeAnchor xmlns:cdr="http://schemas.openxmlformats.org/drawingml/2006/chartDrawing">
    <cdr:from>
      <cdr:x>0.118</cdr:x>
      <cdr:y>0.1815</cdr:y>
    </cdr:from>
    <cdr:to>
      <cdr:x>0.91675</cdr:x>
      <cdr:y>0.1815</cdr:y>
    </cdr:to>
    <cdr:sp>
      <cdr:nvSpPr>
        <cdr:cNvPr id="15" name="Line 16"/>
        <cdr:cNvSpPr>
          <a:spLocks/>
        </cdr:cNvSpPr>
      </cdr:nvSpPr>
      <cdr:spPr>
        <a:xfrm>
          <a:off x="619125" y="552450"/>
          <a:ext cx="4191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38100</xdr:rowOff>
    </xdr:from>
    <xdr:to>
      <xdr:col>13</xdr:col>
      <xdr:colOff>438150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3657600" y="361950"/>
        <a:ext cx="46767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190500</xdr:colOff>
      <xdr:row>10</xdr:row>
      <xdr:rowOff>152400</xdr:rowOff>
    </xdr:from>
    <xdr:to>
      <xdr:col>13</xdr:col>
      <xdr:colOff>323850</xdr:colOff>
      <xdr:row>10</xdr:row>
      <xdr:rowOff>152400</xdr:rowOff>
    </xdr:to>
    <xdr:sp>
      <xdr:nvSpPr>
        <xdr:cNvPr id="2" name="Line 2"/>
        <xdr:cNvSpPr>
          <a:spLocks/>
        </xdr:cNvSpPr>
      </xdr:nvSpPr>
      <xdr:spPr>
        <a:xfrm>
          <a:off x="4429125" y="1771650"/>
          <a:ext cx="37909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28</xdr:row>
      <xdr:rowOff>0</xdr:rowOff>
    </xdr:from>
    <xdr:to>
      <xdr:col>11</xdr:col>
      <xdr:colOff>57150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200025" y="4533900"/>
        <a:ext cx="61531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53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048000" y="8582025"/>
          <a:ext cx="76200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28575</xdr:colOff>
      <xdr:row>16</xdr:row>
      <xdr:rowOff>152400</xdr:rowOff>
    </xdr:from>
    <xdr:to>
      <xdr:col>17</xdr:col>
      <xdr:colOff>600075</xdr:colOff>
      <xdr:row>35</xdr:row>
      <xdr:rowOff>133350</xdr:rowOff>
    </xdr:to>
    <xdr:graphicFrame>
      <xdr:nvGraphicFramePr>
        <xdr:cNvPr id="2" name="Chart 2"/>
        <xdr:cNvGraphicFramePr/>
      </xdr:nvGraphicFramePr>
      <xdr:xfrm>
        <a:off x="5038725" y="2743200"/>
        <a:ext cx="52482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0.17375</cdr:x>
      <cdr:y>0.47275</cdr:y>
    </cdr:from>
    <cdr:to>
      <cdr:x>0.94725</cdr:x>
      <cdr:y>0.47275</cdr:y>
    </cdr:to>
    <cdr:sp>
      <cdr:nvSpPr>
        <cdr:cNvPr id="1" name="Line 1"/>
        <cdr:cNvSpPr>
          <a:spLocks/>
        </cdr:cNvSpPr>
      </cdr:nvSpPr>
      <cdr:spPr>
        <a:xfrm>
          <a:off x="1019175" y="1695450"/>
          <a:ext cx="4552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0.16075</cdr:x>
      <cdr:y>0.48</cdr:y>
    </cdr:from>
    <cdr:to>
      <cdr:x>0.9465</cdr:x>
      <cdr:y>0.48</cdr:y>
    </cdr:to>
    <cdr:sp>
      <cdr:nvSpPr>
        <cdr:cNvPr id="1" name="Line 1"/>
        <cdr:cNvSpPr>
          <a:spLocks/>
        </cdr:cNvSpPr>
      </cdr:nvSpPr>
      <cdr:spPr>
        <a:xfrm>
          <a:off x="838200" y="15525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15</xdr:row>
      <xdr:rowOff>47625</xdr:rowOff>
    </xdr:from>
    <xdr:to>
      <xdr:col>18</xdr:col>
      <xdr:colOff>361950</xdr:colOff>
      <xdr:row>37</xdr:row>
      <xdr:rowOff>85725</xdr:rowOff>
    </xdr:to>
    <xdr:graphicFrame>
      <xdr:nvGraphicFramePr>
        <xdr:cNvPr id="1" name="Chart 6"/>
        <xdr:cNvGraphicFramePr/>
      </xdr:nvGraphicFramePr>
      <xdr:xfrm>
        <a:off x="5362575" y="2476500"/>
        <a:ext cx="5886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390525</xdr:colOff>
      <xdr:row>16</xdr:row>
      <xdr:rowOff>0</xdr:rowOff>
    </xdr:from>
    <xdr:to>
      <xdr:col>27</xdr:col>
      <xdr:colOff>600075</xdr:colOff>
      <xdr:row>36</xdr:row>
      <xdr:rowOff>0</xdr:rowOff>
    </xdr:to>
    <xdr:graphicFrame>
      <xdr:nvGraphicFramePr>
        <xdr:cNvPr id="2" name="Chart 11"/>
        <xdr:cNvGraphicFramePr/>
      </xdr:nvGraphicFramePr>
      <xdr:xfrm>
        <a:off x="11887200" y="2590800"/>
        <a:ext cx="522922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0.4095</cdr:x>
      <cdr:y>0.2445</cdr:y>
    </cdr:from>
    <cdr:to>
      <cdr:x>0.9325</cdr:x>
      <cdr:y>0.2455</cdr:y>
    </cdr:to>
    <cdr:sp>
      <cdr:nvSpPr>
        <cdr:cNvPr id="1" name="Line 1"/>
        <cdr:cNvSpPr>
          <a:spLocks/>
        </cdr:cNvSpPr>
      </cdr:nvSpPr>
      <cdr:spPr>
        <a:xfrm flipV="1">
          <a:off x="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0.08875</cdr:y>
    </cdr:from>
    <cdr:to>
      <cdr:x>-536870.31525</cdr:x>
      <cdr:y>0.1205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Florida Entomologist</a:t>
          </a:r>
        </a:p>
      </cdr:txBody>
    </cdr:sp>
  </cdr:relSizeAnchor>
  <cdr:relSizeAnchor xmlns:cdr="http://schemas.openxmlformats.org/drawingml/2006/chartDrawing">
    <cdr:from>
      <cdr:x>0.537</cdr:x>
      <cdr:y>0.5325</cdr:y>
    </cdr:from>
    <cdr:to>
      <cdr:x>-536870.375</cdr:x>
      <cdr:y>0.56425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752600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0.821</cdr:x>
      <cdr:y>0.1425</cdr:y>
    </cdr:from>
    <cdr:to>
      <cdr:x>-536870.091</cdr:x>
      <cdr:y>0.17425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46672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>
              <a:latin typeface="Arial"/>
              <a:ea typeface="Arial"/>
              <a:cs typeface="Arial"/>
            </a:rPr>
            <a:t>revenues</a:t>
          </a:r>
        </a:p>
      </cdr:txBody>
    </cdr:sp>
  </cdr:relSizeAnchor>
  <cdr:relSizeAnchor xmlns:cdr="http://schemas.openxmlformats.org/drawingml/2006/chartDrawing">
    <cdr:from>
      <cdr:x>0.58175</cdr:x>
      <cdr:y>0.66825</cdr:y>
    </cdr:from>
    <cdr:to>
      <cdr:x>-536870.33025</cdr:x>
      <cdr:y>0.7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20027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ESA Journals</a:t>
          </a:r>
        </a:p>
      </cdr:txBody>
    </cdr:sp>
  </cdr:relSizeAnchor>
  <cdr:relSizeAnchor xmlns:cdr="http://schemas.openxmlformats.org/drawingml/2006/chartDrawing">
    <cdr:from>
      <cdr:x>0.8805</cdr:x>
      <cdr:y>0.4495</cdr:y>
    </cdr:from>
    <cdr:to>
      <cdr:x>-536870.0315</cdr:x>
      <cdr:y>0.48125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147637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Annals</a:t>
          </a:r>
        </a:p>
      </cdr:txBody>
    </cdr:sp>
  </cdr:relSizeAnchor>
  <cdr:relSizeAnchor xmlns:cdr="http://schemas.openxmlformats.org/drawingml/2006/chartDrawing">
    <cdr:from>
      <cdr:x>0.8955</cdr:x>
      <cdr:y>0.7785</cdr:y>
    </cdr:from>
    <cdr:to>
      <cdr:x>-536870.0165</cdr:x>
      <cdr:y>0.81025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256222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EE</a:t>
          </a:r>
        </a:p>
      </cdr:txBody>
    </cdr:sp>
  </cdr:relSizeAnchor>
  <cdr:relSizeAnchor xmlns:cdr="http://schemas.openxmlformats.org/drawingml/2006/chartDrawing">
    <cdr:from>
      <cdr:x>0.86575</cdr:x>
      <cdr:y>0.88775</cdr:y>
    </cdr:from>
    <cdr:to>
      <cdr:x>-536870.04625</cdr:x>
      <cdr:y>0.9195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292417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JEE</a:t>
          </a:r>
        </a:p>
      </cdr:txBody>
    </cdr:sp>
  </cdr:relSizeAnchor>
  <cdr:relSizeAnchor xmlns:cdr="http://schemas.openxmlformats.org/drawingml/2006/chartDrawing">
    <cdr:from>
      <cdr:x>0.8955</cdr:x>
      <cdr:y>0.62175</cdr:y>
    </cdr:from>
    <cdr:to>
      <cdr:x>-536870.0165</cdr:x>
      <cdr:y>0.6535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204787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JME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</cdr:x>
      <cdr:y>0.37075</cdr:y>
    </cdr:from>
    <cdr:to>
      <cdr:x>0.98725</cdr:x>
      <cdr:y>0.3715</cdr:y>
    </cdr:to>
    <cdr:sp>
      <cdr:nvSpPr>
        <cdr:cNvPr id="1" name="Line 1"/>
        <cdr:cNvSpPr>
          <a:spLocks/>
        </cdr:cNvSpPr>
      </cdr:nvSpPr>
      <cdr:spPr>
        <a:xfrm flipV="1">
          <a:off x="733425" y="1266825"/>
          <a:ext cx="4486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38100</xdr:rowOff>
    </xdr:from>
    <xdr:to>
      <xdr:col>0</xdr:col>
      <xdr:colOff>0</xdr:colOff>
      <xdr:row>62</xdr:row>
      <xdr:rowOff>95250</xdr:rowOff>
    </xdr:to>
    <xdr:graphicFrame>
      <xdr:nvGraphicFramePr>
        <xdr:cNvPr id="1" name="Chart 1"/>
        <xdr:cNvGraphicFramePr/>
      </xdr:nvGraphicFramePr>
      <xdr:xfrm>
        <a:off x="0" y="6838950"/>
        <a:ext cx="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476250</xdr:colOff>
      <xdr:row>22</xdr:row>
      <xdr:rowOff>28575</xdr:rowOff>
    </xdr:from>
    <xdr:to>
      <xdr:col>12</xdr:col>
      <xdr:colOff>276225</xdr:colOff>
      <xdr:row>43</xdr:row>
      <xdr:rowOff>57150</xdr:rowOff>
    </xdr:to>
    <xdr:graphicFrame>
      <xdr:nvGraphicFramePr>
        <xdr:cNvPr id="2" name="Chart 2"/>
        <xdr:cNvGraphicFramePr/>
      </xdr:nvGraphicFramePr>
      <xdr:xfrm>
        <a:off x="2143125" y="3590925"/>
        <a:ext cx="528637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0.73225</cdr:x>
      <cdr:y>0.0745</cdr:y>
    </cdr:from>
    <cdr:to>
      <cdr:x>0.73325</cdr:x>
      <cdr:y>0.8625</cdr:y>
    </cdr:to>
    <cdr:sp>
      <cdr:nvSpPr>
        <cdr:cNvPr id="1" name="Line 1"/>
        <cdr:cNvSpPr>
          <a:spLocks/>
        </cdr:cNvSpPr>
      </cdr:nvSpPr>
      <cdr:spPr>
        <a:xfrm>
          <a:off x="3419475" y="209550"/>
          <a:ext cx="0" cy="2305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0.32775</cdr:x>
      <cdr:y>0.141</cdr:y>
    </cdr:from>
    <cdr:to>
      <cdr:x>0.58225</cdr:x>
      <cdr:y>0.21275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0" y="409575"/>
          <a:ext cx="1190625" cy="2095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Prior to IFWA fees</a:t>
          </a:r>
        </a:p>
      </cdr:txBody>
    </cdr:sp>
  </cdr:relSizeAnchor>
  <cdr:relSizeAnchor xmlns:cdr="http://schemas.openxmlformats.org/drawingml/2006/chartDrawing">
    <cdr:from>
      <cdr:x>0.8175</cdr:x>
      <cdr:y>0.1085</cdr:y>
    </cdr:from>
    <cdr:to>
      <cdr:x>0.905</cdr:x>
      <cdr:y>0.2355</cdr:y>
    </cdr:to>
    <cdr:sp>
      <cdr:nvSpPr>
        <cdr:cNvPr id="3" name="TextBox 3"/>
        <cdr:cNvSpPr txBox="1">
          <a:spLocks noChangeArrowheads="1"/>
        </cdr:cNvSpPr>
      </cdr:nvSpPr>
      <cdr:spPr>
        <a:xfrm>
          <a:off x="3819525" y="314325"/>
          <a:ext cx="409575" cy="37147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IFWA
era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workbookViewId="0" topLeftCell="A1">
      <selection activeCell="J26" sqref="J26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8.140625" style="0" customWidth="1"/>
    <col min="4" max="4" width="5.7109375" style="0" customWidth="1"/>
    <col min="5" max="5" width="9.57421875" style="0" customWidth="1"/>
    <col min="6" max="6" width="8.28125" style="1" customWidth="1"/>
    <col min="8" max="8" width="5.421875" style="0" customWidth="1"/>
    <col min="9" max="9" width="7.57421875" style="0" customWidth="1"/>
    <col min="10" max="10" width="7.28125" style="0" customWidth="1"/>
    <col min="11" max="11" width="6.28125" style="0" customWidth="1"/>
    <col min="12" max="12" width="5.8515625" style="0" customWidth="1"/>
    <col min="13" max="13" width="5.7109375" style="0" customWidth="1"/>
    <col min="14" max="14" width="25.00390625" style="0" customWidth="1"/>
    <col min="15" max="15" width="9.00390625" style="0" customWidth="1"/>
  </cols>
  <sheetData>
    <row r="1" spans="1:16" ht="12.75">
      <c r="A1" s="3" t="s">
        <v>65</v>
      </c>
      <c r="C1" s="3"/>
      <c r="I1" s="3" t="s">
        <v>83</v>
      </c>
      <c r="P1" s="3"/>
    </row>
    <row r="2" spans="1:16" ht="12.75">
      <c r="A2" s="3" t="s">
        <v>66</v>
      </c>
      <c r="E2" s="3" t="s">
        <v>87</v>
      </c>
      <c r="F2" s="10"/>
      <c r="I2" s="3" t="s">
        <v>77</v>
      </c>
      <c r="P2" s="11"/>
    </row>
    <row r="3" spans="1:13" ht="12.75">
      <c r="A3" s="12" t="s">
        <v>2</v>
      </c>
      <c r="B3" s="12" t="s">
        <v>88</v>
      </c>
      <c r="C3" s="12" t="s">
        <v>67</v>
      </c>
      <c r="D3" s="3"/>
      <c r="E3" s="12" t="s">
        <v>68</v>
      </c>
      <c r="F3" s="13" t="s">
        <v>5</v>
      </c>
      <c r="G3" s="12" t="s">
        <v>69</v>
      </c>
      <c r="I3" s="8" t="s">
        <v>78</v>
      </c>
      <c r="J3" s="8" t="s">
        <v>79</v>
      </c>
      <c r="K3" s="8" t="s">
        <v>80</v>
      </c>
      <c r="L3" s="8" t="s">
        <v>81</v>
      </c>
      <c r="M3" s="8" t="s">
        <v>82</v>
      </c>
    </row>
    <row r="4" spans="1:16" ht="12.75">
      <c r="A4">
        <v>1994</v>
      </c>
      <c r="B4">
        <v>185</v>
      </c>
      <c r="C4">
        <v>40</v>
      </c>
      <c r="E4">
        <f aca="true" t="shared" si="0" ref="E4:E14">B4*C4</f>
        <v>7400</v>
      </c>
      <c r="F4" s="1">
        <v>148.2</v>
      </c>
      <c r="G4" s="2">
        <f>E4</f>
        <v>7400</v>
      </c>
      <c r="I4">
        <f aca="true" t="shared" si="1" ref="I4:I9">SUM(J4:M4)</f>
        <v>3394</v>
      </c>
      <c r="J4">
        <v>1249</v>
      </c>
      <c r="K4">
        <v>881</v>
      </c>
      <c r="L4">
        <v>755</v>
      </c>
      <c r="M4">
        <v>509</v>
      </c>
      <c r="P4" s="2"/>
    </row>
    <row r="5" spans="1:22" ht="12.75">
      <c r="A5">
        <v>1995</v>
      </c>
      <c r="B5">
        <v>192</v>
      </c>
      <c r="C5">
        <v>40</v>
      </c>
      <c r="E5">
        <f t="shared" si="0"/>
        <v>7680</v>
      </c>
      <c r="F5" s="1">
        <v>152.4</v>
      </c>
      <c r="G5" s="2">
        <f aca="true" t="shared" si="2" ref="G5:G14">E5*$F$4/F5</f>
        <v>7468.346456692913</v>
      </c>
      <c r="I5">
        <f t="shared" si="1"/>
        <v>3228</v>
      </c>
      <c r="J5">
        <v>1178</v>
      </c>
      <c r="K5">
        <v>867</v>
      </c>
      <c r="L5">
        <v>739</v>
      </c>
      <c r="M5">
        <v>444</v>
      </c>
      <c r="P5" s="2"/>
      <c r="U5" s="1"/>
      <c r="V5" s="2"/>
    </row>
    <row r="6" spans="1:22" ht="12.75">
      <c r="A6">
        <v>1996</v>
      </c>
      <c r="B6">
        <v>190</v>
      </c>
      <c r="C6">
        <v>40</v>
      </c>
      <c r="E6">
        <f t="shared" si="0"/>
        <v>7600</v>
      </c>
      <c r="F6" s="1">
        <v>156.9</v>
      </c>
      <c r="G6" s="2">
        <f t="shared" si="2"/>
        <v>7178.585086042065</v>
      </c>
      <c r="I6">
        <f t="shared" si="1"/>
        <v>3048</v>
      </c>
      <c r="J6">
        <v>1095</v>
      </c>
      <c r="K6">
        <v>807</v>
      </c>
      <c r="L6">
        <v>708</v>
      </c>
      <c r="M6">
        <v>438</v>
      </c>
      <c r="P6" s="2"/>
      <c r="V6" s="2"/>
    </row>
    <row r="7" spans="1:22" ht="12.75">
      <c r="A7">
        <v>1997</v>
      </c>
      <c r="B7">
        <v>172</v>
      </c>
      <c r="C7">
        <v>40</v>
      </c>
      <c r="E7">
        <f t="shared" si="0"/>
        <v>6880</v>
      </c>
      <c r="F7" s="1">
        <v>160.5</v>
      </c>
      <c r="G7" s="2">
        <f t="shared" si="2"/>
        <v>6352.747663551401</v>
      </c>
      <c r="I7">
        <f t="shared" si="1"/>
        <v>2943</v>
      </c>
      <c r="J7">
        <v>1035</v>
      </c>
      <c r="K7">
        <v>791</v>
      </c>
      <c r="L7">
        <v>694</v>
      </c>
      <c r="M7">
        <v>423</v>
      </c>
      <c r="P7" s="2"/>
      <c r="V7" s="2"/>
    </row>
    <row r="8" spans="1:22" ht="12.75">
      <c r="A8">
        <v>1998</v>
      </c>
      <c r="B8">
        <v>177</v>
      </c>
      <c r="C8">
        <v>40</v>
      </c>
      <c r="E8">
        <f t="shared" si="0"/>
        <v>7080</v>
      </c>
      <c r="F8" s="1">
        <v>163</v>
      </c>
      <c r="G8" s="2">
        <f t="shared" si="2"/>
        <v>6437.1533742331285</v>
      </c>
      <c r="I8">
        <f t="shared" si="1"/>
        <v>2881</v>
      </c>
      <c r="J8">
        <v>995</v>
      </c>
      <c r="K8">
        <v>780</v>
      </c>
      <c r="L8">
        <v>695</v>
      </c>
      <c r="M8">
        <v>411</v>
      </c>
      <c r="P8" s="2"/>
      <c r="V8" s="2"/>
    </row>
    <row r="9" spans="1:23" ht="12.75">
      <c r="A9">
        <v>1999</v>
      </c>
      <c r="B9">
        <v>163</v>
      </c>
      <c r="C9">
        <v>50</v>
      </c>
      <c r="E9">
        <f t="shared" si="0"/>
        <v>8150</v>
      </c>
      <c r="F9" s="1">
        <v>166.6</v>
      </c>
      <c r="G9" s="2">
        <f t="shared" si="2"/>
        <v>7249.879951980793</v>
      </c>
      <c r="I9">
        <f t="shared" si="1"/>
        <v>2620</v>
      </c>
      <c r="J9">
        <v>891</v>
      </c>
      <c r="K9">
        <v>724</v>
      </c>
      <c r="L9">
        <v>623</v>
      </c>
      <c r="M9">
        <v>382</v>
      </c>
      <c r="P9" s="2"/>
      <c r="W9" s="2"/>
    </row>
    <row r="10" spans="1:23" ht="12.75">
      <c r="A10">
        <v>2000</v>
      </c>
      <c r="B10">
        <v>176</v>
      </c>
      <c r="C10">
        <v>50</v>
      </c>
      <c r="E10">
        <f t="shared" si="0"/>
        <v>8800</v>
      </c>
      <c r="F10" s="1">
        <v>172.2</v>
      </c>
      <c r="G10" s="2">
        <f t="shared" si="2"/>
        <v>7573.519163763067</v>
      </c>
      <c r="I10">
        <v>2458</v>
      </c>
      <c r="J10">
        <v>972</v>
      </c>
      <c r="K10">
        <v>746</v>
      </c>
      <c r="L10">
        <v>710</v>
      </c>
      <c r="M10">
        <v>428</v>
      </c>
      <c r="N10" s="2" t="s">
        <v>84</v>
      </c>
      <c r="W10" s="2"/>
    </row>
    <row r="11" spans="1:23" ht="12.75">
      <c r="A11">
        <v>2001</v>
      </c>
      <c r="B11">
        <v>165</v>
      </c>
      <c r="C11">
        <v>50</v>
      </c>
      <c r="E11">
        <f t="shared" si="0"/>
        <v>8250</v>
      </c>
      <c r="F11" s="1">
        <v>177.1</v>
      </c>
      <c r="G11" s="2">
        <f t="shared" si="2"/>
        <v>6903.726708074534</v>
      </c>
      <c r="I11">
        <f>SUM(J11:M11)</f>
        <v>2296</v>
      </c>
      <c r="J11">
        <v>696</v>
      </c>
      <c r="K11">
        <v>729</v>
      </c>
      <c r="L11">
        <v>504</v>
      </c>
      <c r="M11">
        <v>367</v>
      </c>
      <c r="P11" s="2"/>
      <c r="W11" s="2"/>
    </row>
    <row r="12" spans="1:23" ht="12.75">
      <c r="A12">
        <v>2002</v>
      </c>
      <c r="B12">
        <v>167</v>
      </c>
      <c r="C12">
        <v>50</v>
      </c>
      <c r="E12">
        <f t="shared" si="0"/>
        <v>8350</v>
      </c>
      <c r="F12" s="1">
        <v>180</v>
      </c>
      <c r="G12" s="2">
        <f t="shared" si="2"/>
        <v>6874.833333333333</v>
      </c>
      <c r="I12">
        <f>SUM(J12:M12)</f>
        <v>2295</v>
      </c>
      <c r="J12">
        <v>730</v>
      </c>
      <c r="K12">
        <v>650</v>
      </c>
      <c r="L12">
        <v>564</v>
      </c>
      <c r="M12">
        <v>351</v>
      </c>
      <c r="W12" s="2"/>
    </row>
    <row r="13" spans="1:23" ht="12.75">
      <c r="A13">
        <v>2003</v>
      </c>
      <c r="B13">
        <v>112</v>
      </c>
      <c r="C13">
        <v>50</v>
      </c>
      <c r="E13">
        <f t="shared" si="0"/>
        <v>5600</v>
      </c>
      <c r="F13" s="1">
        <v>183</v>
      </c>
      <c r="G13" s="2">
        <f t="shared" si="2"/>
        <v>4535.081967213114</v>
      </c>
      <c r="I13">
        <f>SUM(J13:M13)</f>
        <v>1921</v>
      </c>
      <c r="J13">
        <v>606</v>
      </c>
      <c r="K13">
        <v>556</v>
      </c>
      <c r="L13">
        <v>467</v>
      </c>
      <c r="M13">
        <v>292</v>
      </c>
      <c r="S13" s="4"/>
      <c r="V13" s="4"/>
      <c r="W13" s="2"/>
    </row>
    <row r="14" spans="1:22" ht="12.75">
      <c r="A14">
        <v>2004</v>
      </c>
      <c r="B14">
        <v>128</v>
      </c>
      <c r="C14">
        <v>50</v>
      </c>
      <c r="E14">
        <f t="shared" si="0"/>
        <v>6400</v>
      </c>
      <c r="F14" s="1">
        <v>186</v>
      </c>
      <c r="G14" s="2">
        <f t="shared" si="2"/>
        <v>5099.354838709677</v>
      </c>
      <c r="H14" t="s">
        <v>70</v>
      </c>
      <c r="S14" s="4"/>
      <c r="V14" s="4"/>
    </row>
    <row r="15" spans="7:22" ht="12.75">
      <c r="G15" s="2"/>
      <c r="K15" s="4"/>
      <c r="S15" s="4"/>
      <c r="V15" s="4"/>
    </row>
    <row r="16" spans="11:22" ht="12.75">
      <c r="K16" s="4"/>
      <c r="P16" s="11"/>
      <c r="S16" s="4"/>
      <c r="V16" s="4"/>
    </row>
    <row r="17" spans="1:17" ht="12.75">
      <c r="A17" s="3" t="s">
        <v>72</v>
      </c>
      <c r="K17" s="4"/>
      <c r="O17" s="4"/>
      <c r="P17" s="14"/>
      <c r="Q17" s="14"/>
    </row>
    <row r="18" spans="2:17" ht="12.75">
      <c r="B18" t="s">
        <v>73</v>
      </c>
      <c r="C18" s="1"/>
      <c r="D18" s="1"/>
      <c r="E18" s="1"/>
      <c r="G18" t="s">
        <v>85</v>
      </c>
      <c r="I18" t="s">
        <v>86</v>
      </c>
      <c r="N18" s="14"/>
      <c r="O18" s="14"/>
      <c r="P18" s="14"/>
      <c r="Q18" s="14"/>
    </row>
    <row r="19" spans="1:17" ht="12.75">
      <c r="A19">
        <v>1994</v>
      </c>
      <c r="B19">
        <v>0</v>
      </c>
      <c r="C19" s="1"/>
      <c r="D19" s="1"/>
      <c r="E19" s="1"/>
      <c r="G19">
        <v>0</v>
      </c>
      <c r="I19">
        <v>0</v>
      </c>
      <c r="N19" s="14"/>
      <c r="O19" s="14"/>
      <c r="P19" s="14"/>
      <c r="Q19" s="14"/>
    </row>
    <row r="20" spans="1:17" ht="12.75">
      <c r="A20">
        <v>1995</v>
      </c>
      <c r="B20" s="14">
        <f aca="true" t="shared" si="3" ref="B20:B29">(B5-B$4)/B$4</f>
        <v>0.03783783783783784</v>
      </c>
      <c r="C20" s="1"/>
      <c r="D20" s="1"/>
      <c r="E20" s="1"/>
      <c r="G20" s="14">
        <f>(G5-G$4)/G$4</f>
        <v>0.009236007661204502</v>
      </c>
      <c r="I20" s="14">
        <f aca="true" t="shared" si="4" ref="I20:I28">(I5-I$4)/I$4</f>
        <v>-0.04890984089569829</v>
      </c>
      <c r="N20" s="14"/>
      <c r="O20" s="14"/>
      <c r="P20" s="14"/>
      <c r="Q20" s="14"/>
    </row>
    <row r="21" spans="1:17" ht="12.75">
      <c r="A21">
        <v>1996</v>
      </c>
      <c r="B21" s="14">
        <f t="shared" si="3"/>
        <v>0.02702702702702703</v>
      </c>
      <c r="C21" s="1"/>
      <c r="D21" s="1"/>
      <c r="E21" s="1"/>
      <c r="G21" s="14">
        <f>(G6-G$4)/G$4</f>
        <v>-0.029920934318639854</v>
      </c>
      <c r="I21" s="14">
        <f t="shared" si="4"/>
        <v>-0.10194460813199764</v>
      </c>
      <c r="K21" s="4"/>
      <c r="N21" s="14"/>
      <c r="O21" s="14"/>
      <c r="P21" s="14"/>
      <c r="Q21" s="14"/>
    </row>
    <row r="22" spans="1:17" ht="12.75">
      <c r="A22">
        <v>1997</v>
      </c>
      <c r="B22" s="14">
        <f t="shared" si="3"/>
        <v>-0.07027027027027027</v>
      </c>
      <c r="C22" s="1"/>
      <c r="D22" s="1"/>
      <c r="E22" s="1"/>
      <c r="G22" s="14">
        <f>(G7-G$4)/G$4</f>
        <v>-0.1415205860065674</v>
      </c>
      <c r="I22" s="14">
        <f t="shared" si="4"/>
        <v>-0.1328815556865056</v>
      </c>
      <c r="K22" s="4"/>
      <c r="N22" s="14"/>
      <c r="O22" s="14"/>
      <c r="P22" s="14"/>
      <c r="Q22" s="14"/>
    </row>
    <row r="23" spans="1:16" ht="12.75">
      <c r="A23">
        <v>1998</v>
      </c>
      <c r="B23" s="14">
        <f t="shared" si="3"/>
        <v>-0.043243243243243246</v>
      </c>
      <c r="C23" s="1"/>
      <c r="D23" s="1"/>
      <c r="E23" s="1"/>
      <c r="G23" s="14">
        <f>(G8-G$4)/G$4</f>
        <v>-0.13011440888741507</v>
      </c>
      <c r="I23" s="14">
        <f t="shared" si="4"/>
        <v>-0.15114908662345317</v>
      </c>
      <c r="K23" s="4"/>
      <c r="N23" s="14"/>
      <c r="O23" s="14"/>
      <c r="P23" s="14"/>
    </row>
    <row r="24" spans="1:16" ht="12.75">
      <c r="A24">
        <v>1999</v>
      </c>
      <c r="B24" s="14">
        <f t="shared" si="3"/>
        <v>-0.11891891891891893</v>
      </c>
      <c r="C24" s="1"/>
      <c r="D24" s="1"/>
      <c r="E24" s="1"/>
      <c r="G24" s="14">
        <f>(G9-G$4)/G$4</f>
        <v>-0.020286492975568567</v>
      </c>
      <c r="I24" s="14">
        <f t="shared" si="4"/>
        <v>-0.2280494991160872</v>
      </c>
      <c r="K24" s="4"/>
      <c r="N24" s="14"/>
      <c r="O24" s="14"/>
      <c r="P24" s="14"/>
    </row>
    <row r="25" spans="1:14" ht="12.75">
      <c r="A25">
        <v>2000</v>
      </c>
      <c r="B25" s="14">
        <f t="shared" si="3"/>
        <v>-0.04864864864864865</v>
      </c>
      <c r="G25">
        <f>(G10-$G$4)/$G$4</f>
        <v>0.02344853564365769</v>
      </c>
      <c r="I25" s="14">
        <f t="shared" si="4"/>
        <v>-0.27578078962875663</v>
      </c>
      <c r="K25" s="4"/>
      <c r="N25" s="4"/>
    </row>
    <row r="26" spans="1:15" ht="12.75">
      <c r="A26">
        <v>2001</v>
      </c>
      <c r="B26" s="14">
        <f t="shared" si="3"/>
        <v>-0.10810810810810811</v>
      </c>
      <c r="G26">
        <f>(G11-$G$4)/$G$4</f>
        <v>-0.0670639583683062</v>
      </c>
      <c r="I26" s="14">
        <f t="shared" si="4"/>
        <v>-0.3235120801414261</v>
      </c>
      <c r="O26" s="4"/>
    </row>
    <row r="27" spans="1:9" ht="12.75">
      <c r="A27">
        <v>2002</v>
      </c>
      <c r="B27" s="14">
        <f t="shared" si="3"/>
        <v>-0.0972972972972973</v>
      </c>
      <c r="C27" s="1"/>
      <c r="D27" s="1"/>
      <c r="E27" s="1"/>
      <c r="G27">
        <f>(G12-$G$4)/$G$4</f>
        <v>-0.0709684684684685</v>
      </c>
      <c r="I27" s="14">
        <f t="shared" si="4"/>
        <v>-0.3238067177371833</v>
      </c>
    </row>
    <row r="28" spans="1:9" ht="12.75">
      <c r="A28">
        <v>2003</v>
      </c>
      <c r="B28" s="14">
        <f t="shared" si="3"/>
        <v>-0.3945945945945946</v>
      </c>
      <c r="G28">
        <f>(G13-$G$4)/$G$4</f>
        <v>-0.3871510855117414</v>
      </c>
      <c r="I28" s="14">
        <f t="shared" si="4"/>
        <v>-0.434001178550383</v>
      </c>
    </row>
    <row r="29" spans="1:9" ht="12.75">
      <c r="A29">
        <v>2004</v>
      </c>
      <c r="B29" s="14">
        <f t="shared" si="3"/>
        <v>-0.3081081081081081</v>
      </c>
      <c r="G29">
        <f>(G14-$G$4)/$G$4</f>
        <v>-0.31089799476896257</v>
      </c>
      <c r="I29" s="14"/>
    </row>
    <row r="30" ht="12.75"/>
    <row r="31" ht="12.75"/>
    <row r="32" spans="1:3" ht="12.75">
      <c r="A32" s="3" t="s">
        <v>71</v>
      </c>
      <c r="C32" s="14"/>
    </row>
    <row r="33" spans="1:3" ht="12.75">
      <c r="A33">
        <v>1994</v>
      </c>
      <c r="B33">
        <v>0</v>
      </c>
      <c r="C33" s="14"/>
    </row>
    <row r="34" spans="1:3" ht="12.75">
      <c r="A34">
        <v>1995</v>
      </c>
      <c r="B34" s="1">
        <f aca="true" t="shared" si="5" ref="B34:B43">(B5-B4)*100/B4</f>
        <v>3.7837837837837838</v>
      </c>
      <c r="C34" s="14"/>
    </row>
    <row r="35" spans="1:17" ht="12.75">
      <c r="A35">
        <v>1996</v>
      </c>
      <c r="B35" s="1">
        <f t="shared" si="5"/>
        <v>-1.0416666666666667</v>
      </c>
      <c r="C35" s="14"/>
      <c r="O35" s="1"/>
      <c r="Q35" s="1"/>
    </row>
    <row r="36" spans="1:17" ht="12.75">
      <c r="A36">
        <v>1997</v>
      </c>
      <c r="B36" s="1">
        <f t="shared" si="5"/>
        <v>-9.473684210526315</v>
      </c>
      <c r="C36" s="14"/>
      <c r="O36" s="1"/>
      <c r="Q36" s="1"/>
    </row>
    <row r="37" spans="1:17" ht="12.75">
      <c r="A37">
        <v>1998</v>
      </c>
      <c r="B37" s="1">
        <f t="shared" si="5"/>
        <v>2.9069767441860463</v>
      </c>
      <c r="C37" s="14"/>
      <c r="O37" s="1"/>
      <c r="Q37" s="1"/>
    </row>
    <row r="38" spans="1:3" ht="12.75">
      <c r="A38">
        <v>1999</v>
      </c>
      <c r="B38" s="1">
        <f t="shared" si="5"/>
        <v>-7.909604519774011</v>
      </c>
      <c r="C38" s="14"/>
    </row>
    <row r="39" spans="1:2" ht="12.75">
      <c r="A39">
        <v>2000</v>
      </c>
      <c r="B39" s="1">
        <f t="shared" si="5"/>
        <v>7.975460122699387</v>
      </c>
    </row>
    <row r="40" spans="1:2" ht="12.75">
      <c r="A40">
        <v>2001</v>
      </c>
      <c r="B40" s="1">
        <f t="shared" si="5"/>
        <v>-6.25</v>
      </c>
    </row>
    <row r="41" spans="1:2" ht="12.75">
      <c r="A41">
        <v>2002</v>
      </c>
      <c r="B41" s="1">
        <f t="shared" si="5"/>
        <v>1.2121212121212122</v>
      </c>
    </row>
    <row r="42" spans="1:2" ht="12.75">
      <c r="A42">
        <v>2003</v>
      </c>
      <c r="B42" s="1">
        <f t="shared" si="5"/>
        <v>-32.93413173652694</v>
      </c>
    </row>
    <row r="43" spans="1:2" ht="12.75">
      <c r="A43">
        <v>2004</v>
      </c>
      <c r="B43" s="1">
        <f t="shared" si="5"/>
        <v>14.285714285714286</v>
      </c>
    </row>
  </sheetData>
  <printOptions gridLines="1"/>
  <pageMargins left="0.78" right="0.45" top="0.55" bottom="0.59" header="0.5" footer="0.5"/>
  <pageSetup horizontalDpi="300" verticalDpi="300" orientation="landscape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7"/>
  <sheetViews>
    <sheetView workbookViewId="0" topLeftCell="P13">
      <selection activeCell="T42" sqref="T42"/>
    </sheetView>
  </sheetViews>
  <sheetFormatPr defaultColWidth="9.140625" defaultRowHeight="12.75"/>
  <cols>
    <col min="1" max="1" width="9.421875" style="0" customWidth="1"/>
    <col min="2" max="2" width="10.8515625" style="0" customWidth="1"/>
    <col min="7" max="8" width="9.140625" style="2" customWidth="1"/>
    <col min="9" max="9" width="5.140625" style="2" customWidth="1"/>
    <col min="18" max="18" width="9.8515625" style="0" customWidth="1"/>
    <col min="20" max="20" width="11.28125" style="0" customWidth="1"/>
    <col min="24" max="24" width="9.140625" style="4" customWidth="1"/>
  </cols>
  <sheetData>
    <row r="1" spans="1:25" ht="12.75">
      <c r="A1" s="3" t="s">
        <v>16</v>
      </c>
      <c r="K1" s="3"/>
      <c r="Y1" t="s">
        <v>91</v>
      </c>
    </row>
    <row r="2" spans="10:25" ht="12.75">
      <c r="J2" s="3" t="s">
        <v>75</v>
      </c>
      <c r="T2" t="s">
        <v>76</v>
      </c>
      <c r="W2" t="s">
        <v>27</v>
      </c>
      <c r="X2" s="4" t="s">
        <v>59</v>
      </c>
      <c r="Y2" t="s">
        <v>27</v>
      </c>
    </row>
    <row r="3" spans="1:25" ht="12.75">
      <c r="A3" t="s">
        <v>19</v>
      </c>
      <c r="B3" t="s">
        <v>21</v>
      </c>
      <c r="C3" t="s">
        <v>22</v>
      </c>
      <c r="D3" t="s">
        <v>23</v>
      </c>
      <c r="E3" t="s">
        <v>57</v>
      </c>
      <c r="F3" t="s">
        <v>25</v>
      </c>
      <c r="G3" s="2" t="s">
        <v>26</v>
      </c>
      <c r="H3" s="2" t="s">
        <v>27</v>
      </c>
      <c r="J3" t="s">
        <v>38</v>
      </c>
      <c r="L3">
        <f>D9</f>
        <v>10800</v>
      </c>
      <c r="N3" t="s">
        <v>39</v>
      </c>
      <c r="T3" t="s">
        <v>74</v>
      </c>
      <c r="U3" t="s">
        <v>5</v>
      </c>
      <c r="V3" t="s">
        <v>58</v>
      </c>
      <c r="W3" t="s">
        <v>90</v>
      </c>
      <c r="X3" s="4" t="s">
        <v>89</v>
      </c>
      <c r="Y3" t="s">
        <v>90</v>
      </c>
    </row>
    <row r="4" spans="1:24" ht="12.75">
      <c r="A4" s="3">
        <v>2001</v>
      </c>
      <c r="E4" t="s">
        <v>28</v>
      </c>
      <c r="F4" t="s">
        <v>28</v>
      </c>
      <c r="G4" s="2" t="s">
        <v>29</v>
      </c>
      <c r="H4" s="2" t="s">
        <v>30</v>
      </c>
      <c r="J4" t="s">
        <v>40</v>
      </c>
      <c r="L4" s="2">
        <f>G9</f>
        <v>2365.65</v>
      </c>
      <c r="N4" t="s">
        <v>41</v>
      </c>
      <c r="O4" s="6">
        <v>1.5</v>
      </c>
      <c r="R4">
        <v>7400</v>
      </c>
      <c r="S4">
        <v>1994</v>
      </c>
      <c r="T4">
        <v>7400</v>
      </c>
      <c r="U4">
        <v>148.2</v>
      </c>
      <c r="V4" s="4">
        <f aca="true" t="shared" si="0" ref="V4:V9">$U$11/U4*T4</f>
        <v>8843.049932523616</v>
      </c>
      <c r="W4">
        <v>0</v>
      </c>
      <c r="X4" s="4">
        <v>0</v>
      </c>
    </row>
    <row r="5" spans="1:24" ht="12.75">
      <c r="A5" s="5" t="s">
        <v>31</v>
      </c>
      <c r="B5">
        <v>20</v>
      </c>
      <c r="C5">
        <v>5</v>
      </c>
      <c r="D5">
        <f>(100*B5)+(50*C5)</f>
        <v>2250</v>
      </c>
      <c r="E5">
        <v>160</v>
      </c>
      <c r="F5">
        <v>164</v>
      </c>
      <c r="G5" s="2">
        <f>F5*3.15</f>
        <v>516.6</v>
      </c>
      <c r="H5" s="2">
        <f>D5-G5</f>
        <v>1733.4</v>
      </c>
      <c r="J5" t="s">
        <v>42</v>
      </c>
      <c r="L5" s="2">
        <f>L3-L4</f>
        <v>8434.35</v>
      </c>
      <c r="N5" t="s">
        <v>43</v>
      </c>
      <c r="O5" s="6">
        <v>1.55</v>
      </c>
      <c r="R5">
        <v>7680</v>
      </c>
      <c r="S5">
        <v>1995</v>
      </c>
      <c r="T5">
        <v>7680</v>
      </c>
      <c r="U5">
        <v>152.4</v>
      </c>
      <c r="V5" s="4">
        <f t="shared" si="0"/>
        <v>8924.72440944882</v>
      </c>
      <c r="W5">
        <v>0</v>
      </c>
      <c r="X5" s="4">
        <v>0</v>
      </c>
    </row>
    <row r="6" spans="1:24" ht="12.75">
      <c r="A6" t="s">
        <v>32</v>
      </c>
      <c r="B6">
        <v>20</v>
      </c>
      <c r="C6">
        <v>11</v>
      </c>
      <c r="D6">
        <f>(100*B6)+(50*C6)</f>
        <v>2550</v>
      </c>
      <c r="E6">
        <v>157</v>
      </c>
      <c r="F6">
        <v>162</v>
      </c>
      <c r="G6" s="2">
        <f>F6*3.15</f>
        <v>510.3</v>
      </c>
      <c r="H6" s="2">
        <f>D6-G6</f>
        <v>2039.7</v>
      </c>
      <c r="J6" t="s">
        <v>44</v>
      </c>
      <c r="O6">
        <v>185</v>
      </c>
      <c r="R6">
        <v>7600</v>
      </c>
      <c r="S6">
        <v>1996</v>
      </c>
      <c r="T6">
        <v>7600</v>
      </c>
      <c r="U6">
        <v>156.9</v>
      </c>
      <c r="V6" s="4">
        <f t="shared" si="0"/>
        <v>8578.457616316125</v>
      </c>
      <c r="W6">
        <v>0</v>
      </c>
      <c r="X6" s="4">
        <v>0</v>
      </c>
    </row>
    <row r="7" spans="1:24" ht="12.75">
      <c r="A7" t="s">
        <v>33</v>
      </c>
      <c r="B7">
        <v>16</v>
      </c>
      <c r="C7">
        <v>8</v>
      </c>
      <c r="D7">
        <f>(100*B7)+(50*C7)</f>
        <v>2000</v>
      </c>
      <c r="E7">
        <v>130</v>
      </c>
      <c r="F7">
        <v>138</v>
      </c>
      <c r="G7" s="2">
        <f>F7*3.15</f>
        <v>434.7</v>
      </c>
      <c r="H7" s="2">
        <f>D7-G7</f>
        <v>1565.3</v>
      </c>
      <c r="J7" t="s">
        <v>45</v>
      </c>
      <c r="O7">
        <v>50</v>
      </c>
      <c r="R7">
        <v>6880</v>
      </c>
      <c r="S7">
        <v>1997</v>
      </c>
      <c r="T7">
        <v>6880</v>
      </c>
      <c r="U7">
        <v>160.5</v>
      </c>
      <c r="V7" s="4">
        <f t="shared" si="0"/>
        <v>7591.57632398754</v>
      </c>
      <c r="W7">
        <v>0</v>
      </c>
      <c r="X7" s="4">
        <v>0</v>
      </c>
    </row>
    <row r="8" spans="1:24" ht="12.75">
      <c r="A8" t="s">
        <v>34</v>
      </c>
      <c r="B8">
        <v>34</v>
      </c>
      <c r="C8">
        <v>12</v>
      </c>
      <c r="D8">
        <f>(100*B8)+(50*C8)</f>
        <v>4000</v>
      </c>
      <c r="E8">
        <v>277</v>
      </c>
      <c r="F8">
        <v>287</v>
      </c>
      <c r="G8" s="2">
        <f>F8*3.15</f>
        <v>904.05</v>
      </c>
      <c r="H8" s="2">
        <f>D8-G8</f>
        <v>3095.95</v>
      </c>
      <c r="J8" t="s">
        <v>46</v>
      </c>
      <c r="O8">
        <f>O6*O7</f>
        <v>9250</v>
      </c>
      <c r="R8">
        <v>7080</v>
      </c>
      <c r="S8">
        <v>1998</v>
      </c>
      <c r="T8">
        <v>7080</v>
      </c>
      <c r="U8" s="1">
        <v>163</v>
      </c>
      <c r="V8" s="4">
        <f t="shared" si="0"/>
        <v>7692.441717791411</v>
      </c>
      <c r="W8">
        <v>0</v>
      </c>
      <c r="X8" s="4">
        <v>0</v>
      </c>
    </row>
    <row r="9" spans="1:24" ht="12.75">
      <c r="A9" t="s">
        <v>35</v>
      </c>
      <c r="B9">
        <f aca="true" t="shared" si="1" ref="B9:H9">SUM(B5:B8)</f>
        <v>90</v>
      </c>
      <c r="C9">
        <f t="shared" si="1"/>
        <v>36</v>
      </c>
      <c r="D9">
        <f t="shared" si="1"/>
        <v>10800</v>
      </c>
      <c r="E9">
        <f t="shared" si="1"/>
        <v>724</v>
      </c>
      <c r="F9">
        <f t="shared" si="1"/>
        <v>751</v>
      </c>
      <c r="G9" s="2">
        <f t="shared" si="1"/>
        <v>2365.65</v>
      </c>
      <c r="H9" s="2">
        <f t="shared" si="1"/>
        <v>8434.35</v>
      </c>
      <c r="J9" t="s">
        <v>47</v>
      </c>
      <c r="O9" s="2">
        <f>H9</f>
        <v>8434.35</v>
      </c>
      <c r="R9">
        <v>8150</v>
      </c>
      <c r="S9">
        <v>1999</v>
      </c>
      <c r="T9">
        <v>8150</v>
      </c>
      <c r="U9">
        <v>166.6</v>
      </c>
      <c r="V9" s="4">
        <f t="shared" si="0"/>
        <v>8663.655462184874</v>
      </c>
      <c r="W9">
        <v>0</v>
      </c>
      <c r="X9" s="4">
        <v>0</v>
      </c>
    </row>
    <row r="10" spans="2:24" ht="12.75">
      <c r="B10" t="s">
        <v>36</v>
      </c>
      <c r="E10" s="6">
        <f>$D$9/E9</f>
        <v>14.917127071823204</v>
      </c>
      <c r="F10" s="6">
        <f>$D$9/F9</f>
        <v>14.380825565912117</v>
      </c>
      <c r="J10" t="s">
        <v>48</v>
      </c>
      <c r="O10">
        <v>165</v>
      </c>
      <c r="R10">
        <v>8800</v>
      </c>
      <c r="S10">
        <v>2000</v>
      </c>
      <c r="T10">
        <v>8800</v>
      </c>
      <c r="U10">
        <v>172.2</v>
      </c>
      <c r="V10" s="4">
        <f>$U$11/U10*T10</f>
        <v>9050.406504065042</v>
      </c>
      <c r="W10">
        <v>0</v>
      </c>
      <c r="X10" s="4">
        <v>0</v>
      </c>
    </row>
    <row r="11" spans="2:25" ht="12.75">
      <c r="B11" t="s">
        <v>37</v>
      </c>
      <c r="E11" s="6">
        <f>$H$9/E9</f>
        <v>11.649654696132597</v>
      </c>
      <c r="F11" s="6">
        <f>$H$9/F9</f>
        <v>11.230825565912118</v>
      </c>
      <c r="J11" t="s">
        <v>49</v>
      </c>
      <c r="O11">
        <f>O6-O10</f>
        <v>20</v>
      </c>
      <c r="R11">
        <v>8250</v>
      </c>
      <c r="S11">
        <v>2001</v>
      </c>
      <c r="T11">
        <v>8250</v>
      </c>
      <c r="U11">
        <v>177.1</v>
      </c>
      <c r="V11" s="4">
        <v>8250</v>
      </c>
      <c r="W11">
        <v>8434.35</v>
      </c>
      <c r="X11" s="4">
        <v>0</v>
      </c>
      <c r="Y11">
        <f>W11-X11</f>
        <v>8434.35</v>
      </c>
    </row>
    <row r="12" spans="10:27" ht="12.75">
      <c r="J12" t="s">
        <v>50</v>
      </c>
      <c r="O12" s="7">
        <f>O11*O7</f>
        <v>1000</v>
      </c>
      <c r="R12">
        <v>8350</v>
      </c>
      <c r="S12">
        <v>2002</v>
      </c>
      <c r="T12">
        <v>8350</v>
      </c>
      <c r="U12">
        <v>179.9</v>
      </c>
      <c r="V12" s="4">
        <f>$U$11/U12*T12</f>
        <v>8220.038910505837</v>
      </c>
      <c r="W12">
        <v>6723.75</v>
      </c>
      <c r="X12" s="4">
        <v>2763.7</v>
      </c>
      <c r="Y12">
        <f>W12-X12</f>
        <v>3960.05</v>
      </c>
      <c r="AA12">
        <f>SUM(Y12:Y13)</f>
        <v>7317.05</v>
      </c>
    </row>
    <row r="13" spans="1:27" ht="12.75">
      <c r="A13" s="3">
        <v>2002</v>
      </c>
      <c r="J13" t="s">
        <v>51</v>
      </c>
      <c r="O13" s="7">
        <f>L5-O12</f>
        <v>7434.35</v>
      </c>
      <c r="R13">
        <v>5600</v>
      </c>
      <c r="S13">
        <v>2003</v>
      </c>
      <c r="T13">
        <v>5600</v>
      </c>
      <c r="U13" s="1">
        <v>183</v>
      </c>
      <c r="V13" s="4">
        <f>$U$11/U13*T13</f>
        <v>5419.4535519125675</v>
      </c>
      <c r="Y13" s="4">
        <v>3357</v>
      </c>
      <c r="AA13">
        <f>AA12/2</f>
        <v>3658.525</v>
      </c>
    </row>
    <row r="14" spans="1:26" ht="12.75">
      <c r="A14" s="5" t="s">
        <v>31</v>
      </c>
      <c r="B14">
        <v>33</v>
      </c>
      <c r="C14">
        <v>9</v>
      </c>
      <c r="D14">
        <f>(100*B14)+(50*C14)</f>
        <v>3750</v>
      </c>
      <c r="E14">
        <v>291</v>
      </c>
      <c r="F14">
        <v>302</v>
      </c>
      <c r="G14" s="2">
        <f>F14*3.15</f>
        <v>951.3</v>
      </c>
      <c r="H14" s="2">
        <f>D14-G14</f>
        <v>2798.7</v>
      </c>
      <c r="J14" t="s">
        <v>52</v>
      </c>
      <c r="O14" s="2">
        <f>(O8-O9)/50</f>
        <v>16.31299999999999</v>
      </c>
      <c r="R14">
        <v>6400</v>
      </c>
      <c r="S14">
        <v>2004</v>
      </c>
      <c r="T14">
        <v>6400</v>
      </c>
      <c r="U14">
        <v>186</v>
      </c>
      <c r="V14" s="4">
        <f>$U$11/U14*T14</f>
        <v>6093.763440860215</v>
      </c>
      <c r="Y14">
        <v>3659</v>
      </c>
      <c r="Z14" t="s">
        <v>93</v>
      </c>
    </row>
    <row r="15" spans="1:8" ht="12.75">
      <c r="A15" t="s">
        <v>32</v>
      </c>
      <c r="B15">
        <v>10</v>
      </c>
      <c r="C15">
        <v>11</v>
      </c>
      <c r="D15">
        <f>(100*B15)+(50*C15)</f>
        <v>1550</v>
      </c>
      <c r="E15">
        <v>95</v>
      </c>
      <c r="F15">
        <v>106</v>
      </c>
      <c r="G15" s="2">
        <f>F15*3.15</f>
        <v>333.9</v>
      </c>
      <c r="H15" s="2">
        <f>D15-G15</f>
        <v>1216.1</v>
      </c>
    </row>
    <row r="16" spans="1:8" ht="12.75">
      <c r="A16" t="s">
        <v>33</v>
      </c>
      <c r="B16">
        <v>15</v>
      </c>
      <c r="C16">
        <v>5</v>
      </c>
      <c r="D16">
        <f>(100*B16)+(50*C16)</f>
        <v>1750</v>
      </c>
      <c r="E16">
        <v>122</v>
      </c>
      <c r="F16">
        <v>128</v>
      </c>
      <c r="G16" s="2">
        <f>F16*3.15</f>
        <v>403.2</v>
      </c>
      <c r="H16" s="2">
        <f>D16-G16</f>
        <v>1346.8</v>
      </c>
    </row>
    <row r="17" spans="1:8" ht="12.75">
      <c r="A17" t="s">
        <v>34</v>
      </c>
      <c r="B17">
        <v>15</v>
      </c>
      <c r="C17">
        <v>6</v>
      </c>
      <c r="D17">
        <f>(100*B17)+(50*C17)</f>
        <v>1800</v>
      </c>
      <c r="E17">
        <v>127</v>
      </c>
      <c r="F17">
        <v>139</v>
      </c>
      <c r="G17" s="2">
        <f>F17*3.15</f>
        <v>437.84999999999997</v>
      </c>
      <c r="H17" s="2">
        <f>D17-G17</f>
        <v>1362.15</v>
      </c>
    </row>
    <row r="18" spans="1:8" ht="12.75">
      <c r="A18" t="s">
        <v>35</v>
      </c>
      <c r="B18">
        <f aca="true" t="shared" si="2" ref="B18:H18">SUM(B14:B17)</f>
        <v>73</v>
      </c>
      <c r="C18">
        <f t="shared" si="2"/>
        <v>31</v>
      </c>
      <c r="D18">
        <f t="shared" si="2"/>
        <v>8850</v>
      </c>
      <c r="E18">
        <f t="shared" si="2"/>
        <v>635</v>
      </c>
      <c r="F18">
        <f t="shared" si="2"/>
        <v>675</v>
      </c>
      <c r="G18" s="2">
        <f t="shared" si="2"/>
        <v>2126.25</v>
      </c>
      <c r="H18" s="2">
        <f t="shared" si="2"/>
        <v>6723.75</v>
      </c>
    </row>
    <row r="20" ht="12.75">
      <c r="A20" s="3">
        <v>2003</v>
      </c>
    </row>
    <row r="21" spans="1:8" ht="12.75">
      <c r="A21" s="5" t="s">
        <v>31</v>
      </c>
      <c r="B21">
        <v>11</v>
      </c>
      <c r="C21">
        <v>4</v>
      </c>
      <c r="D21">
        <f>(100*B21)+(50*C21)</f>
        <v>1300</v>
      </c>
      <c r="E21">
        <v>95</v>
      </c>
      <c r="F21">
        <v>98</v>
      </c>
      <c r="G21" s="2">
        <f>F21*5.85</f>
        <v>573.3</v>
      </c>
      <c r="H21" s="2">
        <f>D21-G21</f>
        <v>726.7</v>
      </c>
    </row>
    <row r="22" spans="1:8" ht="12.75">
      <c r="A22" t="s">
        <v>32</v>
      </c>
      <c r="B22">
        <v>17</v>
      </c>
      <c r="C22">
        <v>4</v>
      </c>
      <c r="D22">
        <f>(100*B22)+(50*C22)</f>
        <v>1900</v>
      </c>
      <c r="E22">
        <v>128</v>
      </c>
      <c r="F22">
        <v>130</v>
      </c>
      <c r="G22" s="2">
        <f>(5.85*E22)+150</f>
        <v>898.8</v>
      </c>
      <c r="H22" s="2">
        <f>D22-G22</f>
        <v>1001.2</v>
      </c>
    </row>
    <row r="23" spans="1:8" ht="12.75">
      <c r="A23" t="s">
        <v>33</v>
      </c>
      <c r="B23">
        <v>15</v>
      </c>
      <c r="C23">
        <v>5</v>
      </c>
      <c r="D23">
        <f>(100*B23)+(50*C23)</f>
        <v>1750</v>
      </c>
      <c r="E23">
        <v>156</v>
      </c>
      <c r="F23">
        <v>160</v>
      </c>
      <c r="G23" s="2">
        <f>(5.85*E23)+150</f>
        <v>1062.6</v>
      </c>
      <c r="H23" s="2">
        <f>D23-G23</f>
        <v>687.4000000000001</v>
      </c>
    </row>
    <row r="24" spans="1:8" ht="12.75">
      <c r="A24" t="s">
        <v>34</v>
      </c>
      <c r="B24">
        <v>13</v>
      </c>
      <c r="C24">
        <v>8</v>
      </c>
      <c r="D24">
        <f>(100*B24)+(50*C24)</f>
        <v>1700</v>
      </c>
      <c r="E24">
        <v>104</v>
      </c>
      <c r="F24">
        <v>118</v>
      </c>
      <c r="G24" s="2">
        <f>(5.85*E24)+(150)</f>
        <v>758.4</v>
      </c>
      <c r="H24" s="2">
        <f>D24-G24</f>
        <v>941.6</v>
      </c>
    </row>
    <row r="25" spans="1:8" ht="12.75">
      <c r="A25" t="s">
        <v>35</v>
      </c>
      <c r="B25">
        <f>SUM(B21:B24)</f>
        <v>56</v>
      </c>
      <c r="C25">
        <f aca="true" t="shared" si="3" ref="C25:H25">SUM(C21:C24)</f>
        <v>21</v>
      </c>
      <c r="D25">
        <f t="shared" si="3"/>
        <v>6650</v>
      </c>
      <c r="E25">
        <f t="shared" si="3"/>
        <v>483</v>
      </c>
      <c r="F25">
        <f t="shared" si="3"/>
        <v>506</v>
      </c>
      <c r="G25" s="2">
        <f t="shared" si="3"/>
        <v>3293.1</v>
      </c>
      <c r="H25" s="2">
        <f t="shared" si="3"/>
        <v>3356.9</v>
      </c>
    </row>
    <row r="26" spans="1:4" ht="12.75">
      <c r="A26" s="5"/>
      <c r="B26" s="4"/>
      <c r="D26" s="4"/>
    </row>
    <row r="27" spans="1:4" ht="12.75">
      <c r="A27" s="15" t="s">
        <v>92</v>
      </c>
      <c r="B27" s="4"/>
      <c r="D27" s="4"/>
    </row>
    <row r="28" spans="1:8" ht="12.75">
      <c r="A28" s="5"/>
      <c r="B28" s="2">
        <f aca="true" t="shared" si="4" ref="B28:H28">SUM(B9+B18+B25)/3</f>
        <v>73</v>
      </c>
      <c r="C28" s="2">
        <f t="shared" si="4"/>
        <v>29.333333333333332</v>
      </c>
      <c r="D28" s="2">
        <f t="shared" si="4"/>
        <v>8766.666666666666</v>
      </c>
      <c r="E28" s="2">
        <f t="shared" si="4"/>
        <v>614</v>
      </c>
      <c r="F28" s="2">
        <f t="shared" si="4"/>
        <v>644</v>
      </c>
      <c r="G28" s="2">
        <f t="shared" si="4"/>
        <v>2595</v>
      </c>
      <c r="H28" s="2">
        <f t="shared" si="4"/>
        <v>6171.666666666667</v>
      </c>
    </row>
    <row r="29" spans="1:4" ht="12.75">
      <c r="A29" s="5"/>
      <c r="B29" s="4"/>
      <c r="D29" s="4"/>
    </row>
    <row r="30" spans="1:2" ht="12.75">
      <c r="A30" s="3">
        <v>2004</v>
      </c>
      <c r="B30" s="4"/>
    </row>
    <row r="31" spans="1:8" ht="12.75">
      <c r="A31" s="5" t="s">
        <v>31</v>
      </c>
      <c r="B31">
        <v>11</v>
      </c>
      <c r="C31">
        <v>5</v>
      </c>
      <c r="D31">
        <f>(100*B31)+(50*C31)</f>
        <v>1350</v>
      </c>
      <c r="E31">
        <v>93</v>
      </c>
      <c r="F31">
        <v>103</v>
      </c>
      <c r="G31" s="2">
        <f>(5.85*E31)+(1.5*(F31-E31))</f>
        <v>559.05</v>
      </c>
      <c r="H31" s="2">
        <f>D31-G31</f>
        <v>790.95</v>
      </c>
    </row>
    <row r="32" ht="12.75">
      <c r="A32" t="s">
        <v>32</v>
      </c>
    </row>
    <row r="33" ht="12.75">
      <c r="A33" t="s">
        <v>33</v>
      </c>
    </row>
    <row r="34" ht="12.75">
      <c r="A34" t="s">
        <v>34</v>
      </c>
    </row>
    <row r="35" ht="12.75">
      <c r="A35" t="s">
        <v>35</v>
      </c>
    </row>
    <row r="36" spans="1:2" ht="12.75">
      <c r="A36" s="5"/>
      <c r="B36" s="4"/>
    </row>
    <row r="37" ht="12.75">
      <c r="B37" s="4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9"/>
  <sheetViews>
    <sheetView tabSelected="1" workbookViewId="0" topLeftCell="A12">
      <selection activeCell="C21" sqref="C21:F22"/>
    </sheetView>
  </sheetViews>
  <sheetFormatPr defaultColWidth="9.140625" defaultRowHeight="12.75"/>
  <cols>
    <col min="1" max="1" width="6.7109375" style="0" customWidth="1"/>
  </cols>
  <sheetData>
    <row r="3" spans="1:16" ht="12.75">
      <c r="A3" s="3" t="s">
        <v>1</v>
      </c>
      <c r="J3" s="3" t="s">
        <v>56</v>
      </c>
      <c r="P3" t="s">
        <v>15</v>
      </c>
    </row>
    <row r="4" spans="2:16" ht="12.75">
      <c r="B4" s="3" t="s">
        <v>54</v>
      </c>
      <c r="F4" t="s">
        <v>104</v>
      </c>
      <c r="G4" s="3" t="s">
        <v>55</v>
      </c>
      <c r="J4" s="3" t="s">
        <v>54</v>
      </c>
      <c r="P4" t="s">
        <v>7</v>
      </c>
    </row>
    <row r="5" spans="1:16" ht="12.75">
      <c r="A5" t="s">
        <v>2</v>
      </c>
      <c r="B5" t="s">
        <v>9</v>
      </c>
      <c r="C5" t="s">
        <v>10</v>
      </c>
      <c r="D5" t="s">
        <v>11</v>
      </c>
      <c r="E5" t="s">
        <v>12</v>
      </c>
      <c r="F5" t="s">
        <v>105</v>
      </c>
      <c r="G5" t="s">
        <v>3</v>
      </c>
      <c r="H5" t="s">
        <v>4</v>
      </c>
      <c r="I5" t="s">
        <v>0</v>
      </c>
      <c r="J5" t="s">
        <v>11</v>
      </c>
      <c r="K5" t="s">
        <v>10</v>
      </c>
      <c r="L5" t="s">
        <v>9</v>
      </c>
      <c r="M5" t="s">
        <v>15</v>
      </c>
      <c r="N5" t="s">
        <v>6</v>
      </c>
      <c r="O5" t="s">
        <v>5</v>
      </c>
      <c r="P5" t="s">
        <v>8</v>
      </c>
    </row>
    <row r="6" spans="1:8" ht="12.75">
      <c r="A6" t="s">
        <v>14</v>
      </c>
      <c r="G6" t="s">
        <v>60</v>
      </c>
      <c r="H6" t="s">
        <v>53</v>
      </c>
    </row>
    <row r="7" spans="1:16" ht="12.75">
      <c r="A7">
        <v>1998</v>
      </c>
      <c r="B7">
        <v>386</v>
      </c>
      <c r="C7">
        <v>46</v>
      </c>
      <c r="D7">
        <v>67</v>
      </c>
      <c r="E7">
        <f aca="true" t="shared" si="0" ref="E7:E13">SUM(B7:D7)</f>
        <v>499</v>
      </c>
      <c r="F7">
        <f aca="true" t="shared" si="1" ref="F7:F13">B7+D7</f>
        <v>453</v>
      </c>
      <c r="G7">
        <v>1324</v>
      </c>
      <c r="H7">
        <v>5076</v>
      </c>
      <c r="I7">
        <f aca="true" t="shared" si="2" ref="I7:I12">SUM(G7:H7)</f>
        <v>6400</v>
      </c>
      <c r="J7">
        <f>D7*10</f>
        <v>670</v>
      </c>
      <c r="K7">
        <f>C7*55</f>
        <v>2530</v>
      </c>
      <c r="L7">
        <f>B7*30</f>
        <v>11580</v>
      </c>
      <c r="M7">
        <f aca="true" t="shared" si="3" ref="M7:M13">J7+L7</f>
        <v>12250</v>
      </c>
      <c r="N7">
        <f aca="true" t="shared" si="4" ref="N7:N13">SUM(J7:L7)</f>
        <v>14780</v>
      </c>
      <c r="O7" s="1">
        <v>163</v>
      </c>
      <c r="P7" s="2">
        <f aca="true" t="shared" si="5" ref="P7:P12">M7*$O$7/O7</f>
        <v>12250</v>
      </c>
    </row>
    <row r="8" spans="1:16" ht="12.75">
      <c r="A8">
        <v>1999</v>
      </c>
      <c r="B8">
        <v>358</v>
      </c>
      <c r="C8">
        <v>41</v>
      </c>
      <c r="D8">
        <v>58</v>
      </c>
      <c r="E8">
        <f t="shared" si="0"/>
        <v>457</v>
      </c>
      <c r="F8">
        <f t="shared" si="1"/>
        <v>416</v>
      </c>
      <c r="G8">
        <v>1305</v>
      </c>
      <c r="H8">
        <v>4890</v>
      </c>
      <c r="I8">
        <f t="shared" si="2"/>
        <v>6195</v>
      </c>
      <c r="J8">
        <f>D8*20</f>
        <v>1160</v>
      </c>
      <c r="K8">
        <f>C8*65</f>
        <v>2665</v>
      </c>
      <c r="L8">
        <f>B8*40</f>
        <v>14320</v>
      </c>
      <c r="M8">
        <f t="shared" si="3"/>
        <v>15480</v>
      </c>
      <c r="N8">
        <f t="shared" si="4"/>
        <v>18145</v>
      </c>
      <c r="O8" s="1">
        <v>166.6</v>
      </c>
      <c r="P8" s="2">
        <f t="shared" si="5"/>
        <v>15145.498199279713</v>
      </c>
    </row>
    <row r="9" spans="1:16" ht="12.75">
      <c r="A9">
        <v>2000</v>
      </c>
      <c r="B9">
        <v>335</v>
      </c>
      <c r="C9">
        <v>37</v>
      </c>
      <c r="D9">
        <v>39</v>
      </c>
      <c r="E9">
        <f t="shared" si="0"/>
        <v>411</v>
      </c>
      <c r="F9">
        <f t="shared" si="1"/>
        <v>374</v>
      </c>
      <c r="G9">
        <v>1130</v>
      </c>
      <c r="H9">
        <v>4537</v>
      </c>
      <c r="I9">
        <f t="shared" si="2"/>
        <v>5667</v>
      </c>
      <c r="J9">
        <f>D9*20</f>
        <v>780</v>
      </c>
      <c r="K9">
        <f>C9*65</f>
        <v>2405</v>
      </c>
      <c r="L9">
        <f>B9*40</f>
        <v>13400</v>
      </c>
      <c r="M9">
        <f t="shared" si="3"/>
        <v>14180</v>
      </c>
      <c r="N9">
        <f t="shared" si="4"/>
        <v>16585</v>
      </c>
      <c r="O9" s="1">
        <v>172.2</v>
      </c>
      <c r="P9" s="2">
        <f t="shared" si="5"/>
        <v>13422.415795586528</v>
      </c>
    </row>
    <row r="10" spans="1:16" ht="12.75">
      <c r="A10">
        <v>2001</v>
      </c>
      <c r="B10">
        <v>347</v>
      </c>
      <c r="C10">
        <v>31</v>
      </c>
      <c r="D10">
        <v>51</v>
      </c>
      <c r="E10">
        <f t="shared" si="0"/>
        <v>429</v>
      </c>
      <c r="F10">
        <f t="shared" si="1"/>
        <v>398</v>
      </c>
      <c r="G10">
        <v>1307</v>
      </c>
      <c r="H10">
        <v>4382</v>
      </c>
      <c r="I10">
        <f t="shared" si="2"/>
        <v>5689</v>
      </c>
      <c r="J10">
        <f>D10*20</f>
        <v>1020</v>
      </c>
      <c r="K10">
        <f>C10*65</f>
        <v>2015</v>
      </c>
      <c r="L10">
        <f>B10*40</f>
        <v>13880</v>
      </c>
      <c r="M10">
        <f t="shared" si="3"/>
        <v>14900</v>
      </c>
      <c r="N10">
        <f t="shared" si="4"/>
        <v>16915</v>
      </c>
      <c r="O10" s="1">
        <v>177.1</v>
      </c>
      <c r="P10" s="2">
        <f t="shared" si="5"/>
        <v>13713.721061547149</v>
      </c>
    </row>
    <row r="11" spans="1:17" ht="12.75">
      <c r="A11">
        <v>2002</v>
      </c>
      <c r="B11">
        <v>290</v>
      </c>
      <c r="C11">
        <v>35</v>
      </c>
      <c r="D11">
        <v>46</v>
      </c>
      <c r="E11">
        <f t="shared" si="0"/>
        <v>371</v>
      </c>
      <c r="F11">
        <f t="shared" si="1"/>
        <v>336</v>
      </c>
      <c r="G11">
        <v>1311</v>
      </c>
      <c r="H11">
        <v>4449</v>
      </c>
      <c r="I11">
        <f t="shared" si="2"/>
        <v>5760</v>
      </c>
      <c r="J11">
        <f>D11*20</f>
        <v>920</v>
      </c>
      <c r="K11">
        <f>C11*65</f>
        <v>2275</v>
      </c>
      <c r="L11">
        <f>B11*40</f>
        <v>11600</v>
      </c>
      <c r="M11">
        <f t="shared" si="3"/>
        <v>12520</v>
      </c>
      <c r="N11">
        <f t="shared" si="4"/>
        <v>14795</v>
      </c>
      <c r="O11" s="1">
        <v>179.9</v>
      </c>
      <c r="P11" s="2">
        <f t="shared" si="5"/>
        <v>11343.857698721511</v>
      </c>
      <c r="Q11" s="2"/>
    </row>
    <row r="12" spans="1:17" ht="12.75">
      <c r="A12">
        <v>2003</v>
      </c>
      <c r="B12">
        <v>256</v>
      </c>
      <c r="C12">
        <v>28</v>
      </c>
      <c r="D12">
        <v>37</v>
      </c>
      <c r="E12">
        <f t="shared" si="0"/>
        <v>321</v>
      </c>
      <c r="F12">
        <f t="shared" si="1"/>
        <v>293</v>
      </c>
      <c r="G12">
        <v>1274</v>
      </c>
      <c r="H12">
        <v>4253</v>
      </c>
      <c r="I12">
        <f t="shared" si="2"/>
        <v>5527</v>
      </c>
      <c r="J12">
        <f>D12*20</f>
        <v>740</v>
      </c>
      <c r="K12">
        <f>C12*65</f>
        <v>1820</v>
      </c>
      <c r="L12">
        <f>B12*40</f>
        <v>10240</v>
      </c>
      <c r="M12">
        <f t="shared" si="3"/>
        <v>10980</v>
      </c>
      <c r="N12">
        <f t="shared" si="4"/>
        <v>12800</v>
      </c>
      <c r="O12" s="1">
        <v>183</v>
      </c>
      <c r="P12" s="2">
        <f t="shared" si="5"/>
        <v>9780</v>
      </c>
      <c r="Q12" s="2"/>
    </row>
    <row r="13" spans="1:17" ht="12.75">
      <c r="A13">
        <v>2004</v>
      </c>
      <c r="B13">
        <v>246</v>
      </c>
      <c r="C13">
        <v>22</v>
      </c>
      <c r="D13">
        <v>39</v>
      </c>
      <c r="E13">
        <f t="shared" si="0"/>
        <v>307</v>
      </c>
      <c r="F13">
        <f t="shared" si="1"/>
        <v>285</v>
      </c>
      <c r="J13">
        <f>D13*20</f>
        <v>780</v>
      </c>
      <c r="K13">
        <f>C13*65</f>
        <v>1430</v>
      </c>
      <c r="L13">
        <f>B13*40</f>
        <v>9840</v>
      </c>
      <c r="M13">
        <f t="shared" si="3"/>
        <v>10620</v>
      </c>
      <c r="N13">
        <f t="shared" si="4"/>
        <v>12050</v>
      </c>
      <c r="O13" s="1"/>
      <c r="Q13" s="2"/>
    </row>
    <row r="14" spans="15:17" ht="12.75">
      <c r="O14" s="1"/>
      <c r="Q14" s="2"/>
    </row>
    <row r="15" spans="1:17" ht="12.75">
      <c r="A15" t="s">
        <v>13</v>
      </c>
      <c r="P15" s="4">
        <v>1</v>
      </c>
      <c r="Q15" s="2"/>
    </row>
    <row r="16" spans="1:16" ht="12.75">
      <c r="A16">
        <v>1998</v>
      </c>
      <c r="B16" s="4">
        <v>1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P16" s="4">
        <f>P8/P$7</f>
        <v>1.2363671999412011</v>
      </c>
    </row>
    <row r="17" spans="1:16" ht="12.75">
      <c r="A17">
        <v>1999</v>
      </c>
      <c r="B17" s="4">
        <f>B8/B$7</f>
        <v>0.927461139896373</v>
      </c>
      <c r="C17" s="4">
        <f>C8/C$7</f>
        <v>0.8913043478260869</v>
      </c>
      <c r="D17" s="4">
        <f>D8/D$7</f>
        <v>0.8656716417910447</v>
      </c>
      <c r="E17" s="4">
        <f>E8/E$7</f>
        <v>0.9158316633266533</v>
      </c>
      <c r="F17" s="4">
        <f>F8/F$7</f>
        <v>0.9183222958057395</v>
      </c>
      <c r="G17" s="4">
        <f>G8/G$7</f>
        <v>0.9856495468277946</v>
      </c>
      <c r="H17" s="4">
        <f>H8/H$7</f>
        <v>0.9633569739952719</v>
      </c>
      <c r="I17" s="4">
        <f>I8/I$7</f>
        <v>0.96796875</v>
      </c>
      <c r="P17" s="4">
        <f>P9/P$7</f>
        <v>1.0957074118846146</v>
      </c>
    </row>
    <row r="18" spans="1:16" ht="12.75">
      <c r="A18">
        <v>2000</v>
      </c>
      <c r="B18" s="4">
        <f>B9/B$7</f>
        <v>0.8678756476683938</v>
      </c>
      <c r="C18" s="4">
        <f>C9/C$7</f>
        <v>0.8043478260869565</v>
      </c>
      <c r="D18" s="4">
        <f>D9/D$7</f>
        <v>0.582089552238806</v>
      </c>
      <c r="E18" s="4">
        <f>E9/E$7</f>
        <v>0.8236472945891784</v>
      </c>
      <c r="F18" s="4">
        <f>F9/F$7</f>
        <v>0.82560706401766</v>
      </c>
      <c r="G18" s="4">
        <f>G9/G$7</f>
        <v>0.8534743202416919</v>
      </c>
      <c r="H18" s="4">
        <f>H9/H$7</f>
        <v>0.8938140267927502</v>
      </c>
      <c r="I18" s="4">
        <f>I9/I$7</f>
        <v>0.88546875</v>
      </c>
      <c r="P18" s="4">
        <f>P10/P$7</f>
        <v>1.1194874335956857</v>
      </c>
    </row>
    <row r="19" spans="1:16" ht="12.75">
      <c r="A19">
        <v>2001</v>
      </c>
      <c r="B19" s="4">
        <f>B10/B$7</f>
        <v>0.8989637305699482</v>
      </c>
      <c r="C19" s="4">
        <f>C10/C$7</f>
        <v>0.6739130434782609</v>
      </c>
      <c r="D19" s="4">
        <f>D10/D$7</f>
        <v>0.7611940298507462</v>
      </c>
      <c r="E19" s="4">
        <f>E10/E$7</f>
        <v>0.8597194388777555</v>
      </c>
      <c r="F19" s="4">
        <f>F10/F$7</f>
        <v>0.8785871964679912</v>
      </c>
      <c r="G19" s="4">
        <f>G10/G$7</f>
        <v>0.9871601208459214</v>
      </c>
      <c r="H19" s="4">
        <f>H10/H$7</f>
        <v>0.8632781717888101</v>
      </c>
      <c r="I19" s="4">
        <f>I10/I$7</f>
        <v>0.88890625</v>
      </c>
      <c r="P19" s="4">
        <f>P11/P$7</f>
        <v>0.9260291998956336</v>
      </c>
    </row>
    <row r="20" spans="1:16" ht="12.75">
      <c r="A20">
        <v>2002</v>
      </c>
      <c r="B20" s="4">
        <f>B11/B$7</f>
        <v>0.7512953367875648</v>
      </c>
      <c r="C20" s="4">
        <f>C11/C$7</f>
        <v>0.7608695652173914</v>
      </c>
      <c r="D20" s="4">
        <f>D11/D$7</f>
        <v>0.6865671641791045</v>
      </c>
      <c r="E20" s="4">
        <f>E11/E$7</f>
        <v>0.7434869739478958</v>
      </c>
      <c r="F20" s="4">
        <f>F11/F$7</f>
        <v>0.7417218543046358</v>
      </c>
      <c r="G20" s="4">
        <f>G11/G$7</f>
        <v>0.9901812688821753</v>
      </c>
      <c r="H20" s="4">
        <f>H11/H$7</f>
        <v>0.8764775413711584</v>
      </c>
      <c r="I20" s="4">
        <f>I11/I$7</f>
        <v>0.9</v>
      </c>
      <c r="P20" s="4">
        <f>P12/P$7</f>
        <v>0.7983673469387755</v>
      </c>
    </row>
    <row r="21" spans="1:9" ht="12.75">
      <c r="A21">
        <v>2003</v>
      </c>
      <c r="B21" s="4">
        <f>B12/B$7</f>
        <v>0.6632124352331606</v>
      </c>
      <c r="C21" s="4">
        <f>C12/C$7</f>
        <v>0.6086956521739131</v>
      </c>
      <c r="D21" s="4">
        <f>D12/D$7</f>
        <v>0.5522388059701493</v>
      </c>
      <c r="E21" s="4">
        <f>E12/E$7</f>
        <v>0.6432865731462926</v>
      </c>
      <c r="F21" s="4">
        <f>F12/F$7</f>
        <v>0.6467991169977925</v>
      </c>
      <c r="G21" s="4">
        <f>G12/G$7</f>
        <v>0.9622356495468278</v>
      </c>
      <c r="H21" s="4">
        <f>H12/H$7</f>
        <v>0.8378644602048857</v>
      </c>
      <c r="I21" s="4">
        <f>I12/I$7</f>
        <v>0.86359375</v>
      </c>
    </row>
    <row r="22" spans="1:6" ht="12.75">
      <c r="A22">
        <v>2004</v>
      </c>
      <c r="B22" s="4">
        <f>B13/B$7</f>
        <v>0.6373056994818653</v>
      </c>
      <c r="C22" s="4">
        <f>C13/C$7</f>
        <v>0.4782608695652174</v>
      </c>
      <c r="D22" s="4">
        <f>D13/D$7</f>
        <v>0.582089552238806</v>
      </c>
      <c r="E22" s="4">
        <f>E13/E$7</f>
        <v>0.6152304609218436</v>
      </c>
      <c r="F22" s="4">
        <f>F13/F$7</f>
        <v>0.6291390728476821</v>
      </c>
    </row>
    <row r="23" spans="2:9" ht="12.75">
      <c r="B23" s="4"/>
      <c r="C23" s="4"/>
      <c r="D23" s="4"/>
      <c r="E23" s="4"/>
      <c r="F23" s="4"/>
      <c r="G23" s="4"/>
      <c r="H23" s="4"/>
      <c r="I23" s="4"/>
    </row>
    <row r="24" spans="2:9" ht="12.75">
      <c r="B24" s="4"/>
      <c r="C24" s="4"/>
      <c r="D24" s="4"/>
      <c r="E24" s="4"/>
      <c r="F24" s="4"/>
      <c r="G24" s="4"/>
      <c r="H24" s="4"/>
      <c r="I24" s="4"/>
    </row>
    <row r="25" spans="2:9" ht="12.75">
      <c r="B25" s="4"/>
      <c r="C25" s="4"/>
      <c r="D25" s="4"/>
      <c r="E25" s="4"/>
      <c r="F25" s="4"/>
      <c r="G25" s="4"/>
      <c r="H25" s="4"/>
      <c r="I25" s="4"/>
    </row>
    <row r="26" spans="2:9" ht="12.75">
      <c r="B26" s="4"/>
      <c r="C26" s="4"/>
      <c r="D26" s="4"/>
      <c r="E26" s="4"/>
      <c r="F26" s="4"/>
      <c r="G26" s="4"/>
      <c r="H26" s="4"/>
      <c r="I26" s="4"/>
    </row>
    <row r="27" spans="2:9" ht="12.75">
      <c r="B27" s="4"/>
      <c r="C27" s="4"/>
      <c r="D27" s="4"/>
      <c r="E27" s="4"/>
      <c r="F27" s="4"/>
      <c r="G27" s="4"/>
      <c r="H27" s="4"/>
      <c r="I27" s="4"/>
    </row>
    <row r="30" ht="12.75">
      <c r="A30" s="3"/>
    </row>
    <row r="37" spans="2:11" ht="12.75">
      <c r="B37" s="1"/>
      <c r="C37" s="1"/>
      <c r="D37" s="1"/>
      <c r="E37" s="1"/>
      <c r="F37" s="1"/>
      <c r="G37" s="1"/>
      <c r="H37" s="1"/>
      <c r="I37" s="1"/>
      <c r="K37" s="1"/>
    </row>
    <row r="38" spans="2:11" ht="12.75">
      <c r="B38" s="1"/>
      <c r="C38" s="1"/>
      <c r="D38" s="1"/>
      <c r="E38" s="1"/>
      <c r="F38" s="1"/>
      <c r="G38" s="1"/>
      <c r="H38" s="1"/>
      <c r="I38" s="1"/>
      <c r="K38" s="1"/>
    </row>
    <row r="39" spans="2:11" ht="12.75">
      <c r="B39" s="1"/>
      <c r="C39" s="1"/>
      <c r="D39" s="1"/>
      <c r="E39" s="1"/>
      <c r="F39" s="1"/>
      <c r="G39" s="1"/>
      <c r="H39" s="1"/>
      <c r="I39" s="1"/>
      <c r="K39" s="1"/>
    </row>
  </sheetData>
  <printOptions gridLines="1"/>
  <pageMargins left="0.78" right="0.45" top="0.55" bottom="0.59" header="0.5" footer="0.5"/>
  <pageSetup horizontalDpi="300" verticalDpi="300" orientation="landscape" scale="1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D15" sqref="D15"/>
    </sheetView>
  </sheetViews>
  <sheetFormatPr defaultColWidth="9.140625" defaultRowHeight="12.75"/>
  <cols>
    <col min="1" max="1" width="7.00390625" style="0" customWidth="1"/>
    <col min="3" max="3" width="10.8515625" style="0" customWidth="1"/>
  </cols>
  <sheetData>
    <row r="1" ht="12.75">
      <c r="A1" s="3" t="s">
        <v>17</v>
      </c>
    </row>
    <row r="2" ht="12.75">
      <c r="D2" t="s">
        <v>18</v>
      </c>
    </row>
    <row r="3" spans="1:5" ht="12.75">
      <c r="A3" t="s">
        <v>20</v>
      </c>
      <c r="B3" t="s">
        <v>24</v>
      </c>
      <c r="C3" t="s">
        <v>25</v>
      </c>
      <c r="D3" t="s">
        <v>24</v>
      </c>
      <c r="E3" t="s">
        <v>25</v>
      </c>
    </row>
    <row r="4" spans="2:5" ht="12.75">
      <c r="B4" t="s">
        <v>28</v>
      </c>
      <c r="C4" t="s">
        <v>28</v>
      </c>
      <c r="D4" t="s">
        <v>28</v>
      </c>
      <c r="E4" t="s">
        <v>28</v>
      </c>
    </row>
    <row r="5" spans="1:9" ht="12.75">
      <c r="A5">
        <v>1994</v>
      </c>
      <c r="C5">
        <v>532</v>
      </c>
      <c r="D5" s="2">
        <f aca="true" t="shared" si="0" ref="D5:E11">B5/1.2</f>
        <v>0</v>
      </c>
      <c r="E5" s="2">
        <f t="shared" si="0"/>
        <v>443.33333333333337</v>
      </c>
      <c r="H5" s="4"/>
      <c r="I5" s="4"/>
    </row>
    <row r="6" spans="1:9" ht="12.75">
      <c r="A6">
        <v>1995</v>
      </c>
      <c r="C6">
        <v>642</v>
      </c>
      <c r="D6" s="2">
        <f t="shared" si="0"/>
        <v>0</v>
      </c>
      <c r="E6" s="2">
        <f t="shared" si="0"/>
        <v>535</v>
      </c>
      <c r="H6" s="4"/>
      <c r="I6" s="4"/>
    </row>
    <row r="7" spans="1:9" ht="12.75">
      <c r="A7">
        <v>1996</v>
      </c>
      <c r="C7">
        <v>629</v>
      </c>
      <c r="D7" s="2">
        <f t="shared" si="0"/>
        <v>0</v>
      </c>
      <c r="E7" s="2">
        <f t="shared" si="0"/>
        <v>524.1666666666667</v>
      </c>
      <c r="H7" s="4"/>
      <c r="I7" s="4"/>
    </row>
    <row r="8" spans="1:9" ht="12.75">
      <c r="A8">
        <v>1997</v>
      </c>
      <c r="C8">
        <v>499</v>
      </c>
      <c r="D8" s="2">
        <f t="shared" si="0"/>
        <v>0</v>
      </c>
      <c r="E8" s="2">
        <f t="shared" si="0"/>
        <v>415.83333333333337</v>
      </c>
      <c r="H8" s="4"/>
      <c r="I8" s="4"/>
    </row>
    <row r="9" spans="1:9" ht="12.75">
      <c r="A9">
        <v>1998</v>
      </c>
      <c r="C9">
        <v>594</v>
      </c>
      <c r="D9" s="2">
        <f t="shared" si="0"/>
        <v>0</v>
      </c>
      <c r="E9" s="2">
        <f t="shared" si="0"/>
        <v>495</v>
      </c>
      <c r="H9" s="4"/>
      <c r="I9" s="4"/>
    </row>
    <row r="10" spans="1:7" ht="12.75">
      <c r="A10">
        <v>1999</v>
      </c>
      <c r="B10">
        <v>604</v>
      </c>
      <c r="C10">
        <v>683</v>
      </c>
      <c r="D10" s="2">
        <f t="shared" si="0"/>
        <v>503.33333333333337</v>
      </c>
      <c r="E10" s="2">
        <f t="shared" si="0"/>
        <v>569.1666666666667</v>
      </c>
      <c r="F10" s="6"/>
      <c r="G10" s="6"/>
    </row>
    <row r="11" spans="1:7" ht="12.75">
      <c r="A11">
        <v>2000</v>
      </c>
      <c r="B11">
        <v>454</v>
      </c>
      <c r="C11">
        <v>510</v>
      </c>
      <c r="D11" s="2">
        <f t="shared" si="0"/>
        <v>378.33333333333337</v>
      </c>
      <c r="E11" s="2">
        <f t="shared" si="0"/>
        <v>425</v>
      </c>
      <c r="F11" s="6"/>
      <c r="G11" s="6"/>
    </row>
    <row r="12" spans="1:5" ht="12.75">
      <c r="A12">
        <v>2001</v>
      </c>
      <c r="B12">
        <v>724</v>
      </c>
      <c r="C12">
        <v>751</v>
      </c>
      <c r="D12">
        <v>724</v>
      </c>
      <c r="E12">
        <v>751</v>
      </c>
    </row>
    <row r="13" spans="1:5" ht="12.75">
      <c r="A13">
        <v>2002</v>
      </c>
      <c r="C13">
        <v>695</v>
      </c>
      <c r="D13">
        <v>635</v>
      </c>
      <c r="E13">
        <v>695</v>
      </c>
    </row>
    <row r="14" spans="1:6" ht="12.75">
      <c r="A14">
        <v>2003</v>
      </c>
      <c r="C14">
        <v>506</v>
      </c>
      <c r="D14">
        <v>483</v>
      </c>
      <c r="E14">
        <v>506</v>
      </c>
      <c r="F14" s="9"/>
    </row>
    <row r="15" spans="1:6" ht="12.75">
      <c r="A15">
        <v>2004</v>
      </c>
      <c r="C15" s="2"/>
      <c r="F15" s="6"/>
    </row>
    <row r="16" spans="2:5" ht="12.75">
      <c r="B16" t="s">
        <v>63</v>
      </c>
      <c r="D16" s="8" t="s">
        <v>62</v>
      </c>
      <c r="E16" s="2">
        <f>AVERAGE(E5:E11)</f>
        <v>486.7857142857143</v>
      </c>
    </row>
    <row r="17" spans="2:5" ht="12.75">
      <c r="B17" t="s">
        <v>61</v>
      </c>
      <c r="D17" s="8" t="s">
        <v>62</v>
      </c>
      <c r="E17" s="2">
        <f>AVERAGE(E5:E14)</f>
        <v>535.95</v>
      </c>
    </row>
    <row r="18" spans="2:5" ht="12.75">
      <c r="B18" t="s">
        <v>64</v>
      </c>
      <c r="E18" s="2">
        <f>AVERAGE(E12:E14)</f>
        <v>650.6666666666666</v>
      </c>
    </row>
    <row r="20" ht="12.75">
      <c r="F20" s="2"/>
    </row>
    <row r="21" ht="12.75">
      <c r="F21" s="2"/>
    </row>
    <row r="25" ht="12.75">
      <c r="F25" s="7"/>
    </row>
    <row r="27" ht="12.75">
      <c r="F27" s="7"/>
    </row>
    <row r="30" ht="12.75">
      <c r="F30" s="2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M21" sqref="M21"/>
    </sheetView>
  </sheetViews>
  <sheetFormatPr defaultColWidth="9.140625" defaultRowHeight="12.75"/>
  <cols>
    <col min="7" max="8" width="9.140625" style="4" customWidth="1"/>
    <col min="10" max="10" width="6.00390625" style="0" customWidth="1"/>
    <col min="11" max="11" width="6.140625" style="0" customWidth="1"/>
    <col min="12" max="12" width="8.421875" style="0" customWidth="1"/>
  </cols>
  <sheetData>
    <row r="1" ht="12.75">
      <c r="A1" t="s">
        <v>94</v>
      </c>
    </row>
    <row r="2" spans="6:15" ht="12.75">
      <c r="F2" t="s">
        <v>57</v>
      </c>
      <c r="G2" s="4" t="s">
        <v>100</v>
      </c>
      <c r="H2" s="4" t="s">
        <v>102</v>
      </c>
      <c r="K2" t="s">
        <v>97</v>
      </c>
      <c r="L2" t="s">
        <v>97</v>
      </c>
      <c r="M2" t="s">
        <v>57</v>
      </c>
      <c r="N2" t="s">
        <v>21</v>
      </c>
      <c r="O2" t="s">
        <v>107</v>
      </c>
    </row>
    <row r="3" spans="2:15" ht="12.75">
      <c r="B3" t="s">
        <v>95</v>
      </c>
      <c r="C3" t="s">
        <v>96</v>
      </c>
      <c r="D3" t="s">
        <v>41</v>
      </c>
      <c r="E3" t="s">
        <v>6</v>
      </c>
      <c r="F3" t="s">
        <v>28</v>
      </c>
      <c r="G3" s="4" t="s">
        <v>103</v>
      </c>
      <c r="H3" s="4" t="s">
        <v>101</v>
      </c>
      <c r="J3" t="s">
        <v>19</v>
      </c>
      <c r="K3" t="s">
        <v>98</v>
      </c>
      <c r="L3" t="s">
        <v>99</v>
      </c>
      <c r="M3" t="s">
        <v>28</v>
      </c>
      <c r="N3" t="s">
        <v>106</v>
      </c>
      <c r="O3" t="s">
        <v>106</v>
      </c>
    </row>
    <row r="4" spans="1:15" ht="12.75">
      <c r="A4" s="5">
        <v>37712</v>
      </c>
      <c r="B4">
        <v>44</v>
      </c>
      <c r="C4">
        <v>235</v>
      </c>
      <c r="D4">
        <v>85</v>
      </c>
      <c r="E4">
        <f aca="true" t="shared" si="0" ref="E4:E10">SUM(B4:D4)</f>
        <v>364</v>
      </c>
      <c r="F4">
        <f>SUM(M4:M8)</f>
        <v>730</v>
      </c>
      <c r="G4" s="4">
        <f>10*D4/$F4</f>
        <v>1.1643835616438356</v>
      </c>
      <c r="H4" s="4">
        <f>E4/$F4</f>
        <v>0.4986301369863014</v>
      </c>
      <c r="I4" s="3">
        <v>2002</v>
      </c>
      <c r="J4" s="5" t="s">
        <v>31</v>
      </c>
      <c r="K4">
        <v>33</v>
      </c>
      <c r="L4">
        <v>9</v>
      </c>
      <c r="M4">
        <v>291</v>
      </c>
      <c r="N4">
        <f>K4+L4</f>
        <v>42</v>
      </c>
      <c r="O4">
        <f>N4</f>
        <v>42</v>
      </c>
    </row>
    <row r="5" spans="1:15" ht="12.75">
      <c r="A5" s="5">
        <v>37742</v>
      </c>
      <c r="B5">
        <v>15</v>
      </c>
      <c r="C5">
        <v>323</v>
      </c>
      <c r="D5">
        <v>91</v>
      </c>
      <c r="E5">
        <f t="shared" si="0"/>
        <v>429</v>
      </c>
      <c r="F5">
        <v>730</v>
      </c>
      <c r="G5" s="4">
        <f aca="true" t="shared" si="1" ref="G5:G15">10*D5/$F5</f>
        <v>1.2465753424657535</v>
      </c>
      <c r="H5" s="4">
        <f aca="true" t="shared" si="2" ref="H5:H15">E5/$F5</f>
        <v>0.5876712328767123</v>
      </c>
      <c r="J5" t="s">
        <v>32</v>
      </c>
      <c r="K5">
        <v>10</v>
      </c>
      <c r="L5">
        <v>11</v>
      </c>
      <c r="M5">
        <v>95</v>
      </c>
      <c r="N5">
        <f aca="true" t="shared" si="3" ref="N5:N12">K5+L5</f>
        <v>21</v>
      </c>
      <c r="O5">
        <f>O4+N5</f>
        <v>63</v>
      </c>
    </row>
    <row r="6" spans="1:15" ht="12.75">
      <c r="A6" s="5">
        <v>37773</v>
      </c>
      <c r="B6">
        <v>34</v>
      </c>
      <c r="C6">
        <v>423</v>
      </c>
      <c r="D6">
        <v>9</v>
      </c>
      <c r="E6">
        <f t="shared" si="0"/>
        <v>466</v>
      </c>
      <c r="F6">
        <v>730</v>
      </c>
      <c r="G6" s="4">
        <f t="shared" si="1"/>
        <v>0.1232876712328767</v>
      </c>
      <c r="H6" s="4">
        <f t="shared" si="2"/>
        <v>0.6383561643835617</v>
      </c>
      <c r="J6" t="s">
        <v>33</v>
      </c>
      <c r="K6">
        <v>15</v>
      </c>
      <c r="L6">
        <v>5</v>
      </c>
      <c r="M6">
        <v>122</v>
      </c>
      <c r="N6">
        <f t="shared" si="3"/>
        <v>20</v>
      </c>
      <c r="O6">
        <f aca="true" t="shared" si="4" ref="O6:O12">O5+N6</f>
        <v>83</v>
      </c>
    </row>
    <row r="7" spans="1:15" ht="12.75">
      <c r="A7" s="5">
        <v>37803</v>
      </c>
      <c r="B7">
        <v>10</v>
      </c>
      <c r="C7">
        <v>55</v>
      </c>
      <c r="D7">
        <v>37</v>
      </c>
      <c r="E7">
        <f t="shared" si="0"/>
        <v>102</v>
      </c>
      <c r="F7">
        <f>SUM(M4:M9)</f>
        <v>858</v>
      </c>
      <c r="G7" s="4">
        <f t="shared" si="1"/>
        <v>0.43123543123543123</v>
      </c>
      <c r="H7" s="4">
        <f t="shared" si="2"/>
        <v>0.11888111888111888</v>
      </c>
      <c r="J7" t="s">
        <v>34</v>
      </c>
      <c r="K7">
        <v>15</v>
      </c>
      <c r="L7">
        <v>6</v>
      </c>
      <c r="M7">
        <v>127</v>
      </c>
      <c r="N7">
        <f t="shared" si="3"/>
        <v>21</v>
      </c>
      <c r="O7">
        <f t="shared" si="4"/>
        <v>104</v>
      </c>
    </row>
    <row r="8" spans="1:15" ht="12.75">
      <c r="A8" s="5">
        <v>37834</v>
      </c>
      <c r="B8">
        <v>22</v>
      </c>
      <c r="C8">
        <v>698</v>
      </c>
      <c r="D8">
        <v>55</v>
      </c>
      <c r="E8">
        <f t="shared" si="0"/>
        <v>775</v>
      </c>
      <c r="F8">
        <v>858</v>
      </c>
      <c r="G8" s="4">
        <f t="shared" si="1"/>
        <v>0.6410256410256411</v>
      </c>
      <c r="H8" s="4">
        <f t="shared" si="2"/>
        <v>0.9032634032634033</v>
      </c>
      <c r="I8" s="3">
        <v>2003</v>
      </c>
      <c r="J8" s="5" t="s">
        <v>31</v>
      </c>
      <c r="K8">
        <v>11</v>
      </c>
      <c r="L8">
        <v>4</v>
      </c>
      <c r="M8">
        <v>95</v>
      </c>
      <c r="N8">
        <f t="shared" si="3"/>
        <v>15</v>
      </c>
      <c r="O8">
        <f t="shared" si="4"/>
        <v>119</v>
      </c>
    </row>
    <row r="9" spans="1:15" ht="12.75">
      <c r="A9" s="5">
        <v>37865</v>
      </c>
      <c r="B9">
        <v>287</v>
      </c>
      <c r="C9">
        <v>1638</v>
      </c>
      <c r="D9">
        <v>168</v>
      </c>
      <c r="E9">
        <f t="shared" si="0"/>
        <v>2093</v>
      </c>
      <c r="F9">
        <v>858</v>
      </c>
      <c r="G9" s="4">
        <f t="shared" si="1"/>
        <v>1.9580419580419581</v>
      </c>
      <c r="H9" s="4">
        <f t="shared" si="2"/>
        <v>2.4393939393939394</v>
      </c>
      <c r="J9" t="s">
        <v>32</v>
      </c>
      <c r="K9">
        <v>17</v>
      </c>
      <c r="L9">
        <v>4</v>
      </c>
      <c r="M9">
        <v>128</v>
      </c>
      <c r="N9">
        <f t="shared" si="3"/>
        <v>21</v>
      </c>
      <c r="O9">
        <f t="shared" si="4"/>
        <v>140</v>
      </c>
    </row>
    <row r="10" spans="1:15" ht="12.75">
      <c r="A10" s="5">
        <v>37895</v>
      </c>
      <c r="B10">
        <v>591</v>
      </c>
      <c r="C10">
        <v>3768</v>
      </c>
      <c r="D10">
        <v>338</v>
      </c>
      <c r="E10">
        <f t="shared" si="0"/>
        <v>4697</v>
      </c>
      <c r="F10">
        <f>SUM(M4:M10)</f>
        <v>1014</v>
      </c>
      <c r="G10" s="4">
        <f t="shared" si="1"/>
        <v>3.3333333333333335</v>
      </c>
      <c r="H10" s="4">
        <f t="shared" si="2"/>
        <v>4.632149901380671</v>
      </c>
      <c r="J10" t="s">
        <v>33</v>
      </c>
      <c r="K10">
        <v>15</v>
      </c>
      <c r="L10">
        <v>5</v>
      </c>
      <c r="M10">
        <v>156</v>
      </c>
      <c r="N10">
        <f t="shared" si="3"/>
        <v>20</v>
      </c>
      <c r="O10">
        <f t="shared" si="4"/>
        <v>160</v>
      </c>
    </row>
    <row r="11" spans="1:15" ht="12.75">
      <c r="A11" s="5"/>
      <c r="J11" t="s">
        <v>34</v>
      </c>
      <c r="K11">
        <v>13</v>
      </c>
      <c r="L11">
        <v>8</v>
      </c>
      <c r="M11">
        <v>104</v>
      </c>
      <c r="N11">
        <f t="shared" si="3"/>
        <v>21</v>
      </c>
      <c r="O11">
        <f t="shared" si="4"/>
        <v>181</v>
      </c>
    </row>
    <row r="12" spans="1:15" ht="12.75">
      <c r="A12" s="5"/>
      <c r="I12" s="3">
        <v>2004</v>
      </c>
      <c r="J12" s="5" t="s">
        <v>31</v>
      </c>
      <c r="K12">
        <v>11</v>
      </c>
      <c r="L12">
        <v>5</v>
      </c>
      <c r="M12">
        <v>93</v>
      </c>
      <c r="N12">
        <f t="shared" si="3"/>
        <v>16</v>
      </c>
      <c r="O12">
        <f t="shared" si="4"/>
        <v>197</v>
      </c>
    </row>
    <row r="13" spans="1:10" ht="12.75">
      <c r="A13" s="5">
        <v>37987</v>
      </c>
      <c r="B13">
        <v>906</v>
      </c>
      <c r="C13">
        <v>3784</v>
      </c>
      <c r="D13">
        <v>365</v>
      </c>
      <c r="E13">
        <f aca="true" t="shared" si="5" ref="E13:E27">SUM(B13:D13)</f>
        <v>5055</v>
      </c>
      <c r="F13">
        <v>1014</v>
      </c>
      <c r="G13" s="4">
        <f t="shared" si="1"/>
        <v>3.5996055226824457</v>
      </c>
      <c r="H13" s="4">
        <f t="shared" si="2"/>
        <v>4.985207100591716</v>
      </c>
      <c r="J13" t="s">
        <v>32</v>
      </c>
    </row>
    <row r="14" spans="1:10" ht="12.75">
      <c r="A14" s="5">
        <v>38018</v>
      </c>
      <c r="B14">
        <v>1058</v>
      </c>
      <c r="C14">
        <v>4588</v>
      </c>
      <c r="D14">
        <v>285</v>
      </c>
      <c r="E14">
        <f t="shared" si="5"/>
        <v>5931</v>
      </c>
      <c r="F14">
        <v>1014</v>
      </c>
      <c r="G14" s="4">
        <f t="shared" si="1"/>
        <v>2.8106508875739644</v>
      </c>
      <c r="H14" s="4">
        <f t="shared" si="2"/>
        <v>5.849112426035503</v>
      </c>
      <c r="J14" t="s">
        <v>33</v>
      </c>
    </row>
    <row r="15" spans="1:10" ht="12.75">
      <c r="A15" s="5">
        <v>38047</v>
      </c>
      <c r="B15">
        <v>899</v>
      </c>
      <c r="C15">
        <v>5236</v>
      </c>
      <c r="D15">
        <v>696</v>
      </c>
      <c r="E15">
        <f t="shared" si="5"/>
        <v>6831</v>
      </c>
      <c r="F15">
        <v>1014</v>
      </c>
      <c r="G15" s="4">
        <f t="shared" si="1"/>
        <v>6.863905325443787</v>
      </c>
      <c r="H15" s="4">
        <f t="shared" si="2"/>
        <v>6.736686390532545</v>
      </c>
      <c r="J15" t="s">
        <v>34</v>
      </c>
    </row>
    <row r="16" spans="1:6" ht="12.75">
      <c r="A16" s="5">
        <v>38078</v>
      </c>
      <c r="E16">
        <f t="shared" si="5"/>
        <v>0</v>
      </c>
      <c r="F16">
        <f>SUM(M4:M11)</f>
        <v>1118</v>
      </c>
    </row>
    <row r="17" spans="1:6" ht="12.75">
      <c r="A17" s="5">
        <v>38108</v>
      </c>
      <c r="E17">
        <f t="shared" si="5"/>
        <v>0</v>
      </c>
      <c r="F17">
        <f>SUM(M4:M12)</f>
        <v>1211</v>
      </c>
    </row>
    <row r="18" spans="1:6" ht="12.75">
      <c r="A18" s="5">
        <v>38139</v>
      </c>
      <c r="E18">
        <f t="shared" si="5"/>
        <v>0</v>
      </c>
      <c r="F18">
        <v>1211</v>
      </c>
    </row>
    <row r="19" spans="1:5" ht="12.75">
      <c r="A19" s="5">
        <v>38169</v>
      </c>
      <c r="E19">
        <f t="shared" si="5"/>
        <v>0</v>
      </c>
    </row>
    <row r="20" spans="1:5" ht="12.75">
      <c r="A20" s="5">
        <v>38200</v>
      </c>
      <c r="E20">
        <f t="shared" si="5"/>
        <v>0</v>
      </c>
    </row>
    <row r="21" spans="1:5" ht="12.75">
      <c r="A21" s="5">
        <v>38231</v>
      </c>
      <c r="E21">
        <f t="shared" si="5"/>
        <v>0</v>
      </c>
    </row>
    <row r="22" spans="1:5" ht="12.75">
      <c r="A22" s="5">
        <v>38261</v>
      </c>
      <c r="E22">
        <f t="shared" si="5"/>
        <v>0</v>
      </c>
    </row>
    <row r="23" spans="1:5" ht="12.75">
      <c r="A23" s="5">
        <v>38292</v>
      </c>
      <c r="E23">
        <f t="shared" si="5"/>
        <v>0</v>
      </c>
    </row>
    <row r="24" spans="1:5" ht="12.75">
      <c r="A24" s="5">
        <v>38322</v>
      </c>
      <c r="E24">
        <f t="shared" si="5"/>
        <v>0</v>
      </c>
    </row>
    <row r="25" spans="1:5" ht="12.75">
      <c r="A25" s="5">
        <v>38353</v>
      </c>
      <c r="E25">
        <f t="shared" si="5"/>
        <v>0</v>
      </c>
    </row>
    <row r="26" spans="1:10" ht="12.75">
      <c r="A26" s="5">
        <v>38384</v>
      </c>
      <c r="E26">
        <f t="shared" si="5"/>
        <v>0</v>
      </c>
      <c r="I26" s="5"/>
      <c r="J26" s="4"/>
    </row>
    <row r="27" spans="1:10" ht="12.75">
      <c r="A27" s="5">
        <v>38412</v>
      </c>
      <c r="E27">
        <f t="shared" si="5"/>
        <v>0</v>
      </c>
      <c r="I27" s="15"/>
      <c r="J27" s="4"/>
    </row>
    <row r="28" spans="9:12" ht="12.75">
      <c r="I28" s="5"/>
      <c r="J28" s="2"/>
      <c r="K28" s="2"/>
      <c r="L28" s="2"/>
    </row>
    <row r="29" spans="9:10" ht="12.75">
      <c r="I29" s="5"/>
      <c r="J29" s="4"/>
    </row>
    <row r="30" ht="12.75">
      <c r="J30" s="4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Thomas J. Walker</cp:lastModifiedBy>
  <cp:lastPrinted>2003-09-25T02:07:42Z</cp:lastPrinted>
  <dcterms:created xsi:type="dcterms:W3CDTF">1998-06-22T12:28:48Z</dcterms:created>
  <dcterms:modified xsi:type="dcterms:W3CDTF">2004-04-21T19:20:45Z</dcterms:modified>
  <cp:category/>
  <cp:version/>
  <cp:contentType/>
  <cp:contentStatus/>
</cp:coreProperties>
</file>