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7020" activeTab="0"/>
  </bookViews>
  <sheets>
    <sheet name="Summary graph" sheetId="1" r:id="rId1"/>
    <sheet name="OA 2008" sheetId="2" r:id="rId2"/>
    <sheet name="OA 2007" sheetId="3" r:id="rId3"/>
    <sheet name="OA 2006" sheetId="4" r:id="rId4"/>
    <sheet name="OA 2005" sheetId="5" r:id="rId5"/>
    <sheet name="OA 2004" sheetId="6" r:id="rId6"/>
    <sheet name="OA 2003" sheetId="7" r:id="rId7"/>
    <sheet name="OA 2002" sheetId="8" r:id="rId8"/>
    <sheet name="OA 2001" sheetId="9" r:id="rId9"/>
    <sheet name="OA 2000 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<sst xmlns="http://schemas.openxmlformats.org/spreadsheetml/2006/main" count="378" uniqueCount="124">
  <si>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</si>
  <si>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</si>
  <si>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</si>
  <si>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</si>
  <si>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</si>
  <si>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</si>
  <si>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</si>
  <si>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</si>
  <si>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</si>
  <si>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</si>
  <si>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</si>
  <si>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</si>
  <si>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</si>
  <si>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</si>
  <si>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</si>
  <si>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</si>
  <si>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</si>
  <si>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</si>
  <si>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</si>
  <si>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</si>
  <si>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</si>
  <si>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</si>
  <si>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</si>
  <si>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</si>
  <si>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</si>
  <si>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</si>
  <si>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</si>
  <si>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</si>
  <si>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</si>
  <si>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</si>
  <si>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</si>
  <si>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</si>
  <si>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</si>
  <si>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</si>
  <si>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</si>
  <si>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Reprint categories and their prices.</t>
  </si>
  <si>
    <t>Est. net income=</t>
  </si>
  <si>
    <t>Gross income</t>
  </si>
  <si>
    <t>Average gross/article</t>
  </si>
  <si>
    <t>Average gross/page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</si>
  <si>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</si>
  <si>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</si>
  <si>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</si>
  <si>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</si>
  <si>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</si>
  <si>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</si>
  <si>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</si>
  <si>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</si>
  <si>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</si>
  <si>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</si>
  <si>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</si>
  <si>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</si>
  <si>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</si>
  <si>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</si>
  <si>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</si>
  <si>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</si>
  <si>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</si>
  <si>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</si>
  <si>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</si>
  <si>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</si>
  <si>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Summary: </t>
  </si>
  <si>
    <t>$16,945</t>
  </si>
  <si>
    <t>$28,869</t>
  </si>
  <si>
    <t>% of authors purchasing</t>
  </si>
  <si>
    <t>Data for 2002:</t>
  </si>
  <si>
    <t>Data for 2003:</t>
  </si>
  <si>
    <t>17 to 20</t>
  </si>
  <si>
    <t>&gt;20*</t>
  </si>
  <si>
    <t>&gt;20</t>
  </si>
  <si>
    <t>$53,297</t>
  </si>
  <si>
    <t>Income generated for ESA by sales of Open Access Reprints</t>
  </si>
  <si>
    <t xml:space="preserve"> 2000-03</t>
  </si>
  <si>
    <t>*manual calculations</t>
  </si>
  <si>
    <t>$30,460</t>
  </si>
  <si>
    <t>net per page =</t>
  </si>
  <si>
    <t>Income generated by sales of PDF reprints</t>
  </si>
  <si>
    <t xml:space="preserve"> $129,571</t>
  </si>
  <si>
    <t>Grand total=</t>
  </si>
  <si>
    <t>Data for 2004:</t>
  </si>
  <si>
    <t>No. OA</t>
  </si>
  <si>
    <t>All</t>
  </si>
  <si>
    <t>%</t>
  </si>
  <si>
    <t>Reprint categories and their prices 2004.</t>
  </si>
  <si>
    <t>articles</t>
  </si>
  <si>
    <t>OA</t>
  </si>
  <si>
    <t>Total pages</t>
  </si>
  <si>
    <t>Average article length</t>
  </si>
  <si>
    <t>Page counts (articles for which OA reprints were bought)</t>
  </si>
  <si>
    <t>2000-04</t>
  </si>
  <si>
    <t>2004</t>
  </si>
  <si>
    <t>≥$348</t>
  </si>
  <si>
    <t>$74,072</t>
  </si>
  <si>
    <t>Year</t>
  </si>
  <si>
    <t>$203,643</t>
  </si>
  <si>
    <t>Total</t>
  </si>
  <si>
    <t>EnvirEnt</t>
  </si>
  <si>
    <t>JMedEnt</t>
  </si>
  <si>
    <t>Percent of ESA authors buying OA, by year and by journal</t>
  </si>
  <si>
    <t>All 2004:</t>
  </si>
  <si>
    <t>Data for 2005:</t>
  </si>
  <si>
    <t>Data for 2006:</t>
  </si>
  <si>
    <t>sum of</t>
  </si>
  <si>
    <t>prices</t>
  </si>
  <si>
    <t>prices 1-16pp</t>
  </si>
  <si>
    <t>gross for</t>
  </si>
  <si>
    <t>journal</t>
  </si>
  <si>
    <t>aver price</t>
  </si>
  <si>
    <t>per OA article</t>
  </si>
  <si>
    <t>AESA</t>
  </si>
  <si>
    <t>Estimated net revenues</t>
  </si>
  <si>
    <t>ESA sales of Open Access Reprints</t>
  </si>
  <si>
    <t>Issue No.</t>
  </si>
  <si>
    <t>No. articles</t>
  </si>
  <si>
    <t>No. articles reprinted</t>
  </si>
  <si>
    <t>No. articles OA</t>
  </si>
  <si>
    <t>% articles OA</t>
  </si>
  <si>
    <t>No. articles PDF</t>
  </si>
  <si>
    <t>No.articles OA</t>
  </si>
  <si>
    <t>Total articles</t>
  </si>
  <si>
    <t>Articles OA</t>
  </si>
  <si>
    <t>Overall % articles OA</t>
  </si>
  <si>
    <t>Data courtesy of Alan Kahan, ESA Director of Communications</t>
  </si>
  <si>
    <t>Average of journal % OAs</t>
  </si>
  <si>
    <t>Overall % 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</si>
</sst>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&quot;$&quot;#,##0"/>
    <numFmt numFmtId="170" formatCode="&quot;$&quot;#,##0.00"/>
    <numFmt numFmtId="171" formatCode="&quot;$&quot;#,##0.0"/>
    <numFmt numFmtId="172" formatCode="0.000"/>
    <numFmt numFmtId="173" formatCode="0.000%"/>
    <numFmt numFmtId="174" formatCode="\$#,##0"/>
    <numFmt numFmtId="175" formatCode="0.000000"/>
    <numFmt numFmtId="176" formatCode="0.0000000"/>
    <numFmt numFmtId="177" formatCode="0.00000"/>
    <numFmt numFmtId="178" formatCode="0.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44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44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5" fontId="0" fillId="24" borderId="0" xfId="0" applyNumberFormat="1" applyFill="1" applyAlignment="1" quotePrefix="1">
      <alignment/>
    </xf>
    <xf numFmtId="3" fontId="0" fillId="24" borderId="0" xfId="0" applyNumberFormat="1" applyFill="1" applyAlignment="1" quotePrefix="1">
      <alignment/>
    </xf>
    <xf numFmtId="0" fontId="0" fillId="24" borderId="0" xfId="0" applyFill="1" applyAlignment="1" quotePrefix="1">
      <alignment/>
    </xf>
    <xf numFmtId="6" fontId="1" fillId="24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9" fontId="0" fillId="0" borderId="0" xfId="59" applyFill="1" applyAlignment="1">
      <alignment/>
    </xf>
    <xf numFmtId="9" fontId="0" fillId="0" borderId="0" xfId="59" applyFont="1" applyFill="1" applyAlignment="1">
      <alignment/>
    </xf>
    <xf numFmtId="9" fontId="0" fillId="24" borderId="0" xfId="59" applyFont="1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9" fontId="1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6" fontId="1" fillId="0" borderId="0" xfId="0" applyNumberFormat="1" applyFont="1" applyFill="1" applyAlignment="1" quotePrefix="1">
      <alignment/>
    </xf>
    <xf numFmtId="5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9" fontId="22" fillId="0" borderId="0" xfId="59" applyFont="1" applyAlignment="1">
      <alignment/>
    </xf>
    <xf numFmtId="9" fontId="23" fillId="0" borderId="0" xfId="59" applyFont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75"/>
          <c:w val="0.878"/>
          <c:h val="0.95175"/>
        </c:manualLayout>
      </c:layout>
      <c:lineChart>
        <c:grouping val="standard"/>
        <c:varyColors val="0"/>
        <c:ser>
          <c:idx val="1"/>
          <c:order val="0"/>
          <c:tx>
            <c:v>Envir Entomol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graph'!$E$5:$E$13</c:f>
              <c:numCache/>
            </c:numRef>
          </c:val>
          <c:smooth val="0"/>
        </c:ser>
        <c:ser>
          <c:idx val="0"/>
          <c:order val="1"/>
          <c:tx>
            <c:v>J Med Entomol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graph'!$F$5:$F$13</c:f>
              <c:numCache/>
            </c:numRef>
          </c:val>
          <c:smooth val="0"/>
        </c:ser>
        <c:ser>
          <c:idx val="6"/>
          <c:order val="2"/>
          <c:tx>
            <c:v>Ann Entomol Soc Am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graph'!$C$5:$C$13</c:f>
              <c:numCache/>
            </c:numRef>
          </c:val>
          <c:smooth val="0"/>
        </c:ser>
        <c:ser>
          <c:idx val="7"/>
          <c:order val="3"/>
          <c:tx>
            <c:v>J Econ Entomol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graph'!$D$5:$D$13</c:f>
              <c:numCache/>
            </c:numRef>
          </c:val>
          <c:smooth val="0"/>
        </c:ser>
        <c:ser>
          <c:idx val="2"/>
          <c:order val="4"/>
          <c:tx>
            <c:v>Sum of journals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graph'!$B$5:$B$13</c:f>
              <c:numCache/>
            </c:numRef>
          </c:val>
          <c:smooth val="0"/>
        </c:ser>
        <c:marker val="1"/>
        <c:axId val="24142870"/>
        <c:axId val="63428927"/>
      </c:lineChart>
      <c:catAx>
        <c:axId val="2414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27"/>
        <c:crosses val="autoZero"/>
        <c:auto val="0"/>
        <c:lblOffset val="100"/>
        <c:tickLblSkip val="1"/>
        <c:noMultiLvlLbl val="0"/>
      </c:catAx>
      <c:valAx>
        <c:axId val="63428927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Authors buying OA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142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587"/>
          <c:w val="0.3065"/>
          <c:h val="0.2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18</xdr:col>
      <xdr:colOff>142875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314950" y="32385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2.421875" style="9" customWidth="1"/>
    <col min="3" max="3" width="7.8515625" style="9" customWidth="1"/>
    <col min="4" max="5" width="8.140625" style="9" customWidth="1"/>
    <col min="6" max="6" width="8.00390625" style="9" customWidth="1"/>
    <col min="7" max="7" width="13.28125" style="43" customWidth="1"/>
    <col min="8" max="8" width="12.28125" style="0" customWidth="1"/>
  </cols>
  <sheetData>
    <row r="1" ht="12.75">
      <c r="A1" s="14" t="s">
        <v>97</v>
      </c>
    </row>
    <row r="2" ht="12.75">
      <c r="A2" s="44"/>
    </row>
    <row r="4" spans="1:8" ht="12.75">
      <c r="A4" t="s">
        <v>92</v>
      </c>
      <c r="B4" s="9" t="s">
        <v>123</v>
      </c>
      <c r="C4" s="9" t="s">
        <v>0</v>
      </c>
      <c r="D4" s="9" t="s">
        <v>12</v>
      </c>
      <c r="E4" s="9" t="s">
        <v>95</v>
      </c>
      <c r="F4" s="9" t="s">
        <v>96</v>
      </c>
      <c r="H4" s="9"/>
    </row>
    <row r="5" spans="1:6" ht="12.75">
      <c r="A5">
        <v>2000</v>
      </c>
      <c r="B5" s="9">
        <v>25.267379679144383</v>
      </c>
      <c r="C5" s="9">
        <v>20.858895705521473</v>
      </c>
      <c r="D5" s="9">
        <v>28.294573643410853</v>
      </c>
      <c r="E5" s="9">
        <v>26.666666666666668</v>
      </c>
      <c r="F5" s="9">
        <v>23.45679012345679</v>
      </c>
    </row>
    <row r="6" spans="1:6" ht="12.75">
      <c r="A6">
        <v>2001</v>
      </c>
      <c r="B6" s="9">
        <v>51.3302034428795</v>
      </c>
      <c r="C6" s="9">
        <v>50.892857142857146</v>
      </c>
      <c r="D6" s="9">
        <v>53.53982300884956</v>
      </c>
      <c r="E6" s="9">
        <v>56.52173913043478</v>
      </c>
      <c r="F6" s="9">
        <v>42.142857142857146</v>
      </c>
    </row>
    <row r="7" spans="1:6" ht="12.75">
      <c r="A7">
        <v>2002</v>
      </c>
      <c r="B7" s="9">
        <v>54.88215488215488</v>
      </c>
      <c r="C7" s="9">
        <v>45.26315789473684</v>
      </c>
      <c r="D7" s="9">
        <v>60.42780748663102</v>
      </c>
      <c r="E7" s="9">
        <v>60.122699386503065</v>
      </c>
      <c r="F7" s="9">
        <v>48.32214765100671</v>
      </c>
    </row>
    <row r="8" spans="1:6" ht="12.75">
      <c r="A8">
        <v>2003</v>
      </c>
      <c r="B8" s="9">
        <v>61.88340807174888</v>
      </c>
      <c r="C8" s="9">
        <v>54.54545454545455</v>
      </c>
      <c r="D8" s="9">
        <v>73.92996108949416</v>
      </c>
      <c r="E8" s="9">
        <v>62.94117647058823</v>
      </c>
      <c r="F8" s="9">
        <v>44.8051948051948</v>
      </c>
    </row>
    <row r="9" spans="1:6" ht="12.75">
      <c r="A9">
        <v>2004</v>
      </c>
      <c r="B9" s="9">
        <f>550*100/818</f>
        <v>67.23716381418093</v>
      </c>
      <c r="C9" s="9">
        <f>108*100/153</f>
        <v>70.58823529411765</v>
      </c>
      <c r="D9" s="9">
        <f>206*100/291</f>
        <v>70.79037800687286</v>
      </c>
      <c r="E9" s="9">
        <f>140*100/209</f>
        <v>66.98564593301435</v>
      </c>
      <c r="F9" s="9">
        <f>96*100/165</f>
        <v>58.18181818181818</v>
      </c>
    </row>
    <row r="10" spans="1:6" ht="12.75">
      <c r="A10">
        <v>2005</v>
      </c>
      <c r="B10" s="9">
        <f>510*100/756</f>
        <v>67.46031746031746</v>
      </c>
      <c r="C10" s="9">
        <f>68*100/118</f>
        <v>57.6271186440678</v>
      </c>
      <c r="D10" s="9">
        <f>201*100/295</f>
        <v>68.13559322033899</v>
      </c>
      <c r="E10" s="9">
        <f>139*100/187</f>
        <v>74.33155080213903</v>
      </c>
      <c r="F10" s="9">
        <f>102*100/156</f>
        <v>65.38461538461539</v>
      </c>
    </row>
    <row r="11" spans="1:6" ht="12.75">
      <c r="A11">
        <v>2006</v>
      </c>
      <c r="B11" s="9">
        <f>100*537/807</f>
        <v>66.54275092936803</v>
      </c>
      <c r="C11" s="9">
        <f>93*100/132</f>
        <v>70.45454545454545</v>
      </c>
      <c r="D11" s="9">
        <f>209*100/289</f>
        <v>72.31833910034602</v>
      </c>
      <c r="E11" s="9">
        <f>129*100/204</f>
        <v>63.23529411764706</v>
      </c>
      <c r="F11" s="9">
        <f>106*100/182</f>
        <v>58.24175824175824</v>
      </c>
    </row>
    <row r="12" spans="1:7" ht="12.75">
      <c r="A12">
        <v>2007</v>
      </c>
      <c r="B12" s="9">
        <f>64.6638054363376</f>
        <v>64.6638054363376</v>
      </c>
      <c r="C12" s="9">
        <v>59.6330275229358</v>
      </c>
      <c r="D12" s="9">
        <v>65.4761904761905</v>
      </c>
      <c r="E12" s="9">
        <v>67.7777777777778</v>
      </c>
      <c r="F12" s="9">
        <v>63.2911392405063</v>
      </c>
      <c r="G12" s="9"/>
    </row>
    <row r="13" spans="1:7" ht="12.75">
      <c r="A13">
        <v>2008</v>
      </c>
      <c r="B13" s="9">
        <v>64.344262295082</v>
      </c>
      <c r="C13" s="9">
        <v>73.7226277372263</v>
      </c>
      <c r="D13" s="9">
        <v>66.798418972332</v>
      </c>
      <c r="E13" s="9">
        <v>56.2841530054645</v>
      </c>
      <c r="F13" s="9">
        <v>61.6352201257862</v>
      </c>
      <c r="G13" s="9"/>
    </row>
    <row r="17" spans="3:4" ht="12.75">
      <c r="C17" s="92"/>
      <c r="D17" s="90"/>
    </row>
    <row r="18" spans="3:4" ht="12.75">
      <c r="C18" s="93"/>
      <c r="D18" s="90"/>
    </row>
    <row r="19" spans="3:4" ht="12.75">
      <c r="C19" s="93"/>
      <c r="D19" s="90"/>
    </row>
    <row r="20" spans="3:4" ht="12.75">
      <c r="C20" s="93"/>
      <c r="D20" s="90"/>
    </row>
    <row r="21" ht="12.75">
      <c r="C21" s="94"/>
    </row>
    <row r="22" spans="3:4" ht="12.75">
      <c r="C22" s="92"/>
      <c r="D22" s="90"/>
    </row>
    <row r="23" spans="3:4" ht="12.75">
      <c r="C23" s="93"/>
      <c r="D23" s="90"/>
    </row>
    <row r="24" spans="3:4" ht="12.75">
      <c r="C24" s="93"/>
      <c r="D24" s="90"/>
    </row>
    <row r="25" spans="3:4" ht="12.75">
      <c r="C25" s="93"/>
      <c r="D25" s="90"/>
    </row>
    <row r="26" ht="12.75">
      <c r="C26" s="94"/>
    </row>
    <row r="27" spans="3:4" ht="12.75">
      <c r="C27" s="92"/>
      <c r="D27" s="90"/>
    </row>
    <row r="28" spans="3:4" ht="12.75">
      <c r="C28" s="93"/>
      <c r="D28" s="90"/>
    </row>
    <row r="29" spans="3:4" ht="12.75">
      <c r="C29" s="90"/>
      <c r="D29" s="90"/>
    </row>
    <row r="30" spans="3:4" ht="12.75">
      <c r="C30" s="90"/>
      <c r="D30" s="90"/>
    </row>
    <row r="32" spans="3:4" ht="12.75">
      <c r="C32" s="90"/>
      <c r="D32" s="90"/>
    </row>
    <row r="33" spans="3:4" ht="12.75">
      <c r="C33" s="91"/>
      <c r="D33" s="90"/>
    </row>
    <row r="34" spans="3:4" ht="12.75">
      <c r="C34" s="90"/>
      <c r="D34" s="90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90"/>
      <c r="D39" s="9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2" topLeftCell="C1" activePane="topRight" state="frozen"/>
      <selection pane="topLeft" activeCell="A1" sqref="A1"/>
      <selection pane="topRight" activeCell="AK5" sqref="AK5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75</v>
      </c>
    </row>
    <row r="2" spans="3:37" ht="12.75">
      <c r="C2" t="s">
        <v>40</v>
      </c>
      <c r="V2" t="s">
        <v>35</v>
      </c>
      <c r="AA2" t="s">
        <v>13</v>
      </c>
      <c r="AK2" t="s">
        <v>101</v>
      </c>
    </row>
    <row r="3" spans="3:37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57</v>
      </c>
      <c r="AG3" s="6" t="s">
        <v>56</v>
      </c>
      <c r="AH3" s="8" t="s">
        <v>9</v>
      </c>
      <c r="AK3" t="s">
        <v>102</v>
      </c>
    </row>
    <row r="4" spans="3:37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  <c r="AK4" s="11">
        <f>SUM(V4:Z4)</f>
        <v>444</v>
      </c>
    </row>
    <row r="5" spans="1:34" ht="12.75">
      <c r="A5" t="s">
        <v>0</v>
      </c>
      <c r="B5" t="s">
        <v>42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41</v>
      </c>
      <c r="B6" t="s">
        <v>43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44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45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46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47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50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48</v>
      </c>
      <c r="B13" t="s">
        <v>51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52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53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54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55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42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49</v>
      </c>
      <c r="B20" t="s">
        <v>43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44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45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46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47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50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41</v>
      </c>
      <c r="B27" t="s">
        <v>51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52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53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54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55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37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38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39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74</v>
      </c>
      <c r="AH39" s="13">
        <f>(AH34-(AH38*U36))/(AH38*U36)</f>
        <v>11.718533886583678</v>
      </c>
    </row>
    <row r="40" spans="31:34" ht="12.75">
      <c r="AE40" t="s">
        <v>36</v>
      </c>
      <c r="AH40" s="3">
        <f>U36*AH39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9.28125" style="0" customWidth="1"/>
    <col min="2" max="8" width="7.7109375" style="0" customWidth="1"/>
  </cols>
  <sheetData>
    <row r="1" spans="1:7" ht="15" customHeight="1">
      <c r="A1" s="50">
        <v>2008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63" t="s">
        <v>112</v>
      </c>
      <c r="B4" s="63">
        <v>30</v>
      </c>
      <c r="C4" s="64">
        <v>23</v>
      </c>
      <c r="D4" s="64">
        <v>24</v>
      </c>
      <c r="E4" s="64">
        <v>11</v>
      </c>
      <c r="F4" s="64">
        <v>23</v>
      </c>
      <c r="G4" s="64">
        <v>26</v>
      </c>
      <c r="H4" s="65">
        <f>SUM(B4:G4)</f>
        <v>137</v>
      </c>
    </row>
    <row r="5" spans="1:8" ht="15" customHeight="1">
      <c r="A5" s="63" t="s">
        <v>113</v>
      </c>
      <c r="B5" s="63">
        <v>6</v>
      </c>
      <c r="C5" s="64">
        <v>6</v>
      </c>
      <c r="D5" s="64">
        <v>5</v>
      </c>
      <c r="E5" s="64">
        <v>4</v>
      </c>
      <c r="F5" s="64">
        <v>0</v>
      </c>
      <c r="G5" s="64">
        <v>3</v>
      </c>
      <c r="H5" s="65">
        <f>SUM(B5:G5)</f>
        <v>24</v>
      </c>
    </row>
    <row r="6" spans="1:8" ht="15" customHeight="1">
      <c r="A6" s="63" t="s">
        <v>114</v>
      </c>
      <c r="B6" s="63">
        <v>25</v>
      </c>
      <c r="C6" s="64">
        <v>16</v>
      </c>
      <c r="D6" s="64">
        <v>15</v>
      </c>
      <c r="E6" s="64">
        <v>7</v>
      </c>
      <c r="F6" s="64">
        <v>17</v>
      </c>
      <c r="G6" s="64">
        <v>21</v>
      </c>
      <c r="H6" s="65">
        <f>SUM(B6:G6)</f>
        <v>101</v>
      </c>
    </row>
    <row r="7" spans="1:8" ht="15" customHeight="1">
      <c r="A7" s="63" t="s">
        <v>115</v>
      </c>
      <c r="B7" s="66">
        <f>B6/B4</f>
        <v>0.8333333333333334</v>
      </c>
      <c r="C7" s="66">
        <f aca="true" t="shared" si="0" ref="C7:H7">C6/C4</f>
        <v>0.6956521739130435</v>
      </c>
      <c r="D7" s="66">
        <f t="shared" si="0"/>
        <v>0.625</v>
      </c>
      <c r="E7" s="66">
        <f t="shared" si="0"/>
        <v>0.6363636363636364</v>
      </c>
      <c r="F7" s="66">
        <f t="shared" si="0"/>
        <v>0.7391304347826086</v>
      </c>
      <c r="G7" s="66">
        <f t="shared" si="0"/>
        <v>0.8076923076923077</v>
      </c>
      <c r="H7" s="67">
        <f t="shared" si="0"/>
        <v>0.7372262773722628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63" t="s">
        <v>112</v>
      </c>
      <c r="B9" s="64">
        <v>31</v>
      </c>
      <c r="C9" s="70">
        <v>39</v>
      </c>
      <c r="D9" s="70">
        <v>25</v>
      </c>
      <c r="E9" s="71">
        <v>25</v>
      </c>
      <c r="F9" s="71">
        <v>37</v>
      </c>
      <c r="G9" s="71">
        <v>26</v>
      </c>
      <c r="H9" s="72">
        <f>SUM(B9:G9)</f>
        <v>183</v>
      </c>
    </row>
    <row r="10" spans="1:8" ht="15" customHeight="1">
      <c r="A10" s="63" t="s">
        <v>113</v>
      </c>
      <c r="B10" s="63">
        <v>8</v>
      </c>
      <c r="C10" s="63">
        <v>7</v>
      </c>
      <c r="D10" s="63">
        <v>8</v>
      </c>
      <c r="E10" s="73">
        <v>0</v>
      </c>
      <c r="F10" s="74">
        <v>7</v>
      </c>
      <c r="G10" s="74">
        <v>3</v>
      </c>
      <c r="H10" s="72">
        <f>SUM(B10:G10)</f>
        <v>33</v>
      </c>
    </row>
    <row r="11" spans="1:8" ht="15" customHeight="1">
      <c r="A11" s="63" t="s">
        <v>114</v>
      </c>
      <c r="B11" s="63">
        <v>20</v>
      </c>
      <c r="C11" s="63">
        <v>29</v>
      </c>
      <c r="D11" s="63">
        <v>13</v>
      </c>
      <c r="E11" s="63">
        <v>11</v>
      </c>
      <c r="F11" s="74">
        <v>16</v>
      </c>
      <c r="G11" s="74">
        <v>14</v>
      </c>
      <c r="H11" s="72">
        <f>SUM(B11:G11)</f>
        <v>103</v>
      </c>
    </row>
    <row r="12" spans="1:8" ht="15" customHeight="1">
      <c r="A12" s="63" t="s">
        <v>115</v>
      </c>
      <c r="B12" s="66">
        <f>B11/B9</f>
        <v>0.6451612903225806</v>
      </c>
      <c r="C12" s="66">
        <f aca="true" t="shared" si="1" ref="C12:H12">C11/C9</f>
        <v>0.7435897435897436</v>
      </c>
      <c r="D12" s="66">
        <f t="shared" si="1"/>
        <v>0.52</v>
      </c>
      <c r="E12" s="66">
        <f t="shared" si="1"/>
        <v>0.44</v>
      </c>
      <c r="F12" s="66">
        <f t="shared" si="1"/>
        <v>0.43243243243243246</v>
      </c>
      <c r="G12" s="66">
        <f t="shared" si="1"/>
        <v>0.5384615384615384</v>
      </c>
      <c r="H12" s="67">
        <f t="shared" si="1"/>
        <v>0.5628415300546448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63" t="s">
        <v>112</v>
      </c>
      <c r="B14" s="77">
        <v>31</v>
      </c>
      <c r="C14" s="77">
        <v>51</v>
      </c>
      <c r="D14" s="77">
        <v>50</v>
      </c>
      <c r="E14" s="77">
        <v>60</v>
      </c>
      <c r="F14" s="77">
        <v>26</v>
      </c>
      <c r="G14" s="77">
        <v>35</v>
      </c>
      <c r="H14" s="65">
        <f>SUM(B14:G14)</f>
        <v>253</v>
      </c>
    </row>
    <row r="15" spans="1:8" ht="15" customHeight="1">
      <c r="A15" s="63" t="s">
        <v>113</v>
      </c>
      <c r="B15" s="77">
        <v>7</v>
      </c>
      <c r="C15" s="77">
        <v>14</v>
      </c>
      <c r="D15" s="77">
        <v>10</v>
      </c>
      <c r="E15" s="77">
        <v>12</v>
      </c>
      <c r="F15" s="77">
        <v>3</v>
      </c>
      <c r="G15" s="77">
        <v>2</v>
      </c>
      <c r="H15" s="65">
        <f>SUM(B15:G15)</f>
        <v>48</v>
      </c>
    </row>
    <row r="16" spans="1:8" ht="15" customHeight="1">
      <c r="A16" s="63" t="s">
        <v>116</v>
      </c>
      <c r="B16" s="77">
        <v>17</v>
      </c>
      <c r="C16" s="77">
        <v>35</v>
      </c>
      <c r="D16" s="77">
        <v>33</v>
      </c>
      <c r="E16" s="77">
        <v>44</v>
      </c>
      <c r="F16" s="77">
        <v>16</v>
      </c>
      <c r="G16" s="77">
        <v>24</v>
      </c>
      <c r="H16" s="65">
        <f>SUM(B16:G16)</f>
        <v>169</v>
      </c>
    </row>
    <row r="17" spans="1:8" ht="15" customHeight="1">
      <c r="A17" s="63" t="s">
        <v>115</v>
      </c>
      <c r="B17" s="66">
        <f>B16/B14</f>
        <v>0.5483870967741935</v>
      </c>
      <c r="C17" s="66">
        <f aca="true" t="shared" si="2" ref="C17:H17">C16/C14</f>
        <v>0.6862745098039216</v>
      </c>
      <c r="D17" s="66">
        <f t="shared" si="2"/>
        <v>0.66</v>
      </c>
      <c r="E17" s="66">
        <f t="shared" si="2"/>
        <v>0.7333333333333333</v>
      </c>
      <c r="F17" s="66">
        <f t="shared" si="2"/>
        <v>0.6153846153846154</v>
      </c>
      <c r="G17" s="66">
        <f t="shared" si="2"/>
        <v>0.6857142857142857</v>
      </c>
      <c r="H17" s="67">
        <f t="shared" si="2"/>
        <v>0.6679841897233202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63" t="s">
        <v>112</v>
      </c>
      <c r="B19" s="77">
        <v>28</v>
      </c>
      <c r="C19" s="77">
        <v>18</v>
      </c>
      <c r="D19" s="77">
        <v>32</v>
      </c>
      <c r="E19" s="77">
        <v>31</v>
      </c>
      <c r="F19" s="77">
        <v>20</v>
      </c>
      <c r="G19" s="77">
        <v>30</v>
      </c>
      <c r="H19" s="65">
        <f>SUM(B19:G19)</f>
        <v>159</v>
      </c>
    </row>
    <row r="20" spans="1:8" ht="15" customHeight="1">
      <c r="A20" s="63" t="s">
        <v>113</v>
      </c>
      <c r="B20" s="77">
        <v>5</v>
      </c>
      <c r="C20" s="77">
        <v>8</v>
      </c>
      <c r="D20" s="77">
        <v>6</v>
      </c>
      <c r="E20" s="77">
        <v>8</v>
      </c>
      <c r="F20" s="77">
        <v>4</v>
      </c>
      <c r="G20" s="77">
        <v>9</v>
      </c>
      <c r="H20" s="65">
        <f>SUM(B20:G20)</f>
        <v>40</v>
      </c>
    </row>
    <row r="21" spans="1:8" ht="15" customHeight="1">
      <c r="A21" s="63" t="s">
        <v>114</v>
      </c>
      <c r="B21" s="77">
        <v>19</v>
      </c>
      <c r="C21" s="77">
        <v>10</v>
      </c>
      <c r="D21" s="77">
        <v>20</v>
      </c>
      <c r="E21" s="77">
        <v>15</v>
      </c>
      <c r="F21" s="77">
        <v>14</v>
      </c>
      <c r="G21" s="77">
        <v>20</v>
      </c>
      <c r="H21" s="65">
        <f>SUM(B21:G21)</f>
        <v>98</v>
      </c>
    </row>
    <row r="22" spans="1:8" ht="15" customHeight="1">
      <c r="A22" s="63" t="s">
        <v>115</v>
      </c>
      <c r="B22" s="66">
        <f>B21/B19</f>
        <v>0.6785714285714286</v>
      </c>
      <c r="C22" s="66">
        <f aca="true" t="shared" si="3" ref="C22:H22">C21/C19</f>
        <v>0.5555555555555556</v>
      </c>
      <c r="D22" s="66">
        <f t="shared" si="3"/>
        <v>0.625</v>
      </c>
      <c r="E22" s="66">
        <f t="shared" si="3"/>
        <v>0.4838709677419355</v>
      </c>
      <c r="F22" s="66">
        <f t="shared" si="3"/>
        <v>0.7</v>
      </c>
      <c r="G22" s="66">
        <f t="shared" si="3"/>
        <v>0.6666666666666666</v>
      </c>
      <c r="H22" s="67">
        <f t="shared" si="3"/>
        <v>0.6163522012578616</v>
      </c>
    </row>
    <row r="23" ht="15" customHeight="1"/>
    <row r="24" spans="7:8" ht="15" customHeight="1">
      <c r="G24" s="80" t="s">
        <v>122</v>
      </c>
      <c r="H24" s="95">
        <f>(H7+H12+H17+H22)/4</f>
        <v>0.6461010496020223</v>
      </c>
    </row>
    <row r="27" spans="5:9" ht="12.75">
      <c r="E27" s="44" t="s">
        <v>118</v>
      </c>
      <c r="F27" s="44"/>
      <c r="G27" s="44"/>
      <c r="H27" s="88">
        <f>H4+H9+H14+H19</f>
        <v>732</v>
      </c>
      <c r="I27" s="51"/>
    </row>
    <row r="28" spans="5:9" ht="12.75">
      <c r="E28" s="44" t="s">
        <v>119</v>
      </c>
      <c r="F28" s="44"/>
      <c r="G28" s="44"/>
      <c r="H28" s="88">
        <f>H6+H11+H16+H21</f>
        <v>471</v>
      </c>
      <c r="I28" s="51"/>
    </row>
    <row r="29" spans="5:9" ht="12.75">
      <c r="E29" s="14" t="s">
        <v>120</v>
      </c>
      <c r="F29" s="14"/>
      <c r="G29" s="14"/>
      <c r="H29" s="95">
        <f>H28/H27</f>
        <v>0.6434426229508197</v>
      </c>
      <c r="I29" s="89"/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1" sqref="B31"/>
    </sheetView>
  </sheetViews>
  <sheetFormatPr defaultColWidth="9.140625" defaultRowHeight="12.75"/>
  <cols>
    <col min="1" max="1" width="19.57421875" style="0" customWidth="1"/>
    <col min="2" max="8" width="7.7109375" style="0" customWidth="1"/>
  </cols>
  <sheetData>
    <row r="1" spans="1:7" ht="15" customHeight="1">
      <c r="A1" s="50">
        <v>2007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44" t="s">
        <v>112</v>
      </c>
      <c r="B4" s="44">
        <v>12</v>
      </c>
      <c r="C4" s="81">
        <v>29</v>
      </c>
      <c r="D4" s="81">
        <v>13</v>
      </c>
      <c r="E4" s="81">
        <v>21</v>
      </c>
      <c r="F4" s="81">
        <v>19</v>
      </c>
      <c r="G4" s="81">
        <v>15</v>
      </c>
      <c r="H4" s="82">
        <f>SUM(B4:G4)</f>
        <v>109</v>
      </c>
    </row>
    <row r="5" spans="1:8" ht="15" customHeight="1">
      <c r="A5" s="44" t="s">
        <v>113</v>
      </c>
      <c r="B5" s="44">
        <v>6</v>
      </c>
      <c r="C5" s="81">
        <v>4</v>
      </c>
      <c r="D5" s="81">
        <v>6</v>
      </c>
      <c r="E5" s="81">
        <v>5</v>
      </c>
      <c r="F5" s="81">
        <v>4</v>
      </c>
      <c r="G5" s="81">
        <v>5</v>
      </c>
      <c r="H5" s="82">
        <f>SUM(B5:G5)</f>
        <v>30</v>
      </c>
    </row>
    <row r="6" spans="1:8" ht="15" customHeight="1">
      <c r="A6" s="44" t="s">
        <v>114</v>
      </c>
      <c r="B6" s="44">
        <v>6</v>
      </c>
      <c r="C6" s="81">
        <v>18</v>
      </c>
      <c r="D6" s="81">
        <v>8</v>
      </c>
      <c r="E6" s="81">
        <v>12</v>
      </c>
      <c r="F6" s="81">
        <v>12</v>
      </c>
      <c r="G6" s="81">
        <v>9</v>
      </c>
      <c r="H6" s="82">
        <f>SUM(B6:G6)</f>
        <v>65</v>
      </c>
    </row>
    <row r="7" spans="1:8" ht="15" customHeight="1">
      <c r="A7" s="44" t="s">
        <v>115</v>
      </c>
      <c r="B7" s="83">
        <f aca="true" t="shared" si="0" ref="B7:H7">B6/B4</f>
        <v>0.5</v>
      </c>
      <c r="C7" s="83">
        <f t="shared" si="0"/>
        <v>0.6206896551724138</v>
      </c>
      <c r="D7" s="83">
        <f t="shared" si="0"/>
        <v>0.6153846153846154</v>
      </c>
      <c r="E7" s="83">
        <f t="shared" si="0"/>
        <v>0.5714285714285714</v>
      </c>
      <c r="F7" s="83">
        <f t="shared" si="0"/>
        <v>0.631578947368421</v>
      </c>
      <c r="G7" s="83">
        <f t="shared" si="0"/>
        <v>0.6</v>
      </c>
      <c r="H7" s="84">
        <f t="shared" si="0"/>
        <v>0.5963302752293578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44" t="s">
        <v>112</v>
      </c>
      <c r="B9" s="81">
        <v>30</v>
      </c>
      <c r="C9" s="85">
        <v>28</v>
      </c>
      <c r="D9" s="85">
        <v>22</v>
      </c>
      <c r="E9" s="86">
        <v>37</v>
      </c>
      <c r="F9" s="86">
        <v>38</v>
      </c>
      <c r="G9" s="86">
        <v>25</v>
      </c>
      <c r="H9" s="82">
        <f>SUM(B9:G9)</f>
        <v>180</v>
      </c>
    </row>
    <row r="10" spans="1:8" ht="15" customHeight="1">
      <c r="A10" s="44" t="s">
        <v>113</v>
      </c>
      <c r="B10" s="44">
        <v>6</v>
      </c>
      <c r="C10" s="44">
        <v>8</v>
      </c>
      <c r="D10" s="44">
        <v>5</v>
      </c>
      <c r="E10" s="44">
        <v>7</v>
      </c>
      <c r="F10" s="87">
        <v>8</v>
      </c>
      <c r="G10" s="87">
        <v>6</v>
      </c>
      <c r="H10" s="82">
        <f>SUM(B10:G10)</f>
        <v>40</v>
      </c>
    </row>
    <row r="11" spans="1:8" ht="15" customHeight="1">
      <c r="A11" s="44" t="s">
        <v>117</v>
      </c>
      <c r="B11" s="44">
        <v>24</v>
      </c>
      <c r="C11" s="44">
        <v>16</v>
      </c>
      <c r="D11" s="44">
        <v>17</v>
      </c>
      <c r="E11" s="44">
        <v>24</v>
      </c>
      <c r="F11" s="87">
        <v>23</v>
      </c>
      <c r="G11" s="87">
        <v>18</v>
      </c>
      <c r="H11" s="82">
        <f>SUM(B11:G11)</f>
        <v>122</v>
      </c>
    </row>
    <row r="12" spans="1:8" ht="15" customHeight="1">
      <c r="A12" s="44" t="s">
        <v>115</v>
      </c>
      <c r="B12" s="83">
        <f aca="true" t="shared" si="1" ref="B12:H12">B11/B9</f>
        <v>0.8</v>
      </c>
      <c r="C12" s="83">
        <f t="shared" si="1"/>
        <v>0.5714285714285714</v>
      </c>
      <c r="D12" s="83">
        <f t="shared" si="1"/>
        <v>0.7727272727272727</v>
      </c>
      <c r="E12" s="83">
        <f t="shared" si="1"/>
        <v>0.6486486486486487</v>
      </c>
      <c r="F12" s="83">
        <f t="shared" si="1"/>
        <v>0.6052631578947368</v>
      </c>
      <c r="G12" s="83">
        <f t="shared" si="1"/>
        <v>0.72</v>
      </c>
      <c r="H12" s="84">
        <f t="shared" si="1"/>
        <v>0.6777777777777778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44" t="s">
        <v>112</v>
      </c>
      <c r="B14" s="88">
        <v>34</v>
      </c>
      <c r="C14" s="88">
        <v>50</v>
      </c>
      <c r="D14" s="88">
        <v>50</v>
      </c>
      <c r="E14" s="88">
        <v>61</v>
      </c>
      <c r="F14" s="88">
        <v>30</v>
      </c>
      <c r="G14" s="88">
        <v>27</v>
      </c>
      <c r="H14" s="82">
        <f>SUM(B14:G14)</f>
        <v>252</v>
      </c>
    </row>
    <row r="15" spans="1:8" ht="15" customHeight="1">
      <c r="A15" s="44" t="s">
        <v>113</v>
      </c>
      <c r="B15" s="88">
        <v>7</v>
      </c>
      <c r="C15" s="88">
        <v>16</v>
      </c>
      <c r="D15" s="88">
        <v>14</v>
      </c>
      <c r="E15" s="88">
        <v>16</v>
      </c>
      <c r="F15" s="88">
        <v>11</v>
      </c>
      <c r="G15" s="88">
        <v>8</v>
      </c>
      <c r="H15" s="82">
        <f>SUM(B15:G15)</f>
        <v>72</v>
      </c>
    </row>
    <row r="16" spans="1:8" ht="15" customHeight="1">
      <c r="A16" s="44" t="s">
        <v>114</v>
      </c>
      <c r="B16" s="88">
        <v>22</v>
      </c>
      <c r="C16" s="88">
        <v>33</v>
      </c>
      <c r="D16" s="88">
        <v>35</v>
      </c>
      <c r="E16" s="88">
        <v>38</v>
      </c>
      <c r="F16" s="88">
        <v>24</v>
      </c>
      <c r="G16" s="88">
        <v>13</v>
      </c>
      <c r="H16" s="82">
        <f>SUM(B16:G16)</f>
        <v>165</v>
      </c>
    </row>
    <row r="17" spans="1:8" ht="15" customHeight="1">
      <c r="A17" s="44" t="s">
        <v>115</v>
      </c>
      <c r="B17" s="83">
        <f aca="true" t="shared" si="2" ref="B17:H17">B16/B14</f>
        <v>0.6470588235294118</v>
      </c>
      <c r="C17" s="83">
        <f t="shared" si="2"/>
        <v>0.66</v>
      </c>
      <c r="D17" s="83">
        <f t="shared" si="2"/>
        <v>0.7</v>
      </c>
      <c r="E17" s="83">
        <f t="shared" si="2"/>
        <v>0.6229508196721312</v>
      </c>
      <c r="F17" s="83">
        <f t="shared" si="2"/>
        <v>0.8</v>
      </c>
      <c r="G17" s="83">
        <f t="shared" si="2"/>
        <v>0.48148148148148145</v>
      </c>
      <c r="H17" s="84">
        <f t="shared" si="2"/>
        <v>0.6547619047619048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44" t="s">
        <v>112</v>
      </c>
      <c r="B19" s="88">
        <v>24</v>
      </c>
      <c r="C19" s="88">
        <v>33</v>
      </c>
      <c r="D19" s="88">
        <v>21</v>
      </c>
      <c r="E19" s="88">
        <v>25</v>
      </c>
      <c r="F19" s="88">
        <v>25</v>
      </c>
      <c r="G19" s="88">
        <v>30</v>
      </c>
      <c r="H19" s="82">
        <f>SUM(B19:G19)</f>
        <v>158</v>
      </c>
    </row>
    <row r="20" spans="1:8" ht="15" customHeight="1">
      <c r="A20" s="44" t="s">
        <v>113</v>
      </c>
      <c r="B20" s="88">
        <v>6</v>
      </c>
      <c r="C20" s="88">
        <v>6</v>
      </c>
      <c r="D20" s="88">
        <v>6</v>
      </c>
      <c r="E20" s="88">
        <v>4</v>
      </c>
      <c r="F20" s="88">
        <v>8</v>
      </c>
      <c r="G20" s="88">
        <v>9</v>
      </c>
      <c r="H20" s="82">
        <f>SUM(B20:G20)</f>
        <v>39</v>
      </c>
    </row>
    <row r="21" spans="1:8" ht="15" customHeight="1">
      <c r="A21" s="44" t="s">
        <v>114</v>
      </c>
      <c r="B21" s="88">
        <v>13</v>
      </c>
      <c r="C21" s="88">
        <v>24</v>
      </c>
      <c r="D21" s="88">
        <v>14</v>
      </c>
      <c r="E21" s="88">
        <v>15</v>
      </c>
      <c r="F21" s="88">
        <v>19</v>
      </c>
      <c r="G21" s="88">
        <v>15</v>
      </c>
      <c r="H21" s="82">
        <f>SUM(B21:G21)</f>
        <v>100</v>
      </c>
    </row>
    <row r="22" spans="1:8" ht="15" customHeight="1">
      <c r="A22" s="44" t="s">
        <v>115</v>
      </c>
      <c r="B22" s="83">
        <f aca="true" t="shared" si="3" ref="B22:H22">B21/B19</f>
        <v>0.5416666666666666</v>
      </c>
      <c r="C22" s="83">
        <f t="shared" si="3"/>
        <v>0.7272727272727273</v>
      </c>
      <c r="D22" s="83">
        <f t="shared" si="3"/>
        <v>0.6666666666666666</v>
      </c>
      <c r="E22" s="83">
        <f t="shared" si="3"/>
        <v>0.6</v>
      </c>
      <c r="F22" s="83">
        <f t="shared" si="3"/>
        <v>0.76</v>
      </c>
      <c r="G22" s="83">
        <f t="shared" si="3"/>
        <v>0.5</v>
      </c>
      <c r="H22" s="84">
        <f t="shared" si="3"/>
        <v>0.6329113924050633</v>
      </c>
    </row>
    <row r="23" spans="1:8" ht="15" customHeight="1">
      <c r="A23" s="44"/>
      <c r="B23" s="44"/>
      <c r="C23" s="44"/>
      <c r="D23" s="44"/>
      <c r="E23" s="44"/>
      <c r="F23" s="44"/>
      <c r="G23" s="44"/>
      <c r="H23" s="44"/>
    </row>
    <row r="24" spans="7:8" ht="15" customHeight="1">
      <c r="G24" s="80" t="s">
        <v>122</v>
      </c>
      <c r="H24" s="95">
        <f>(H7+H12+H17+H22)/4</f>
        <v>0.640445337543526</v>
      </c>
    </row>
    <row r="25" ht="15" customHeight="1"/>
    <row r="26" ht="15" customHeight="1"/>
    <row r="27" spans="5:8" ht="15" customHeight="1">
      <c r="E27" t="s">
        <v>118</v>
      </c>
      <c r="H27" s="51">
        <f>H4+H9+H14+H19</f>
        <v>699</v>
      </c>
    </row>
    <row r="28" spans="5:8" ht="12.75">
      <c r="E28" t="s">
        <v>119</v>
      </c>
      <c r="H28" s="51">
        <f>H6+H11+H16+H21</f>
        <v>452</v>
      </c>
    </row>
    <row r="29" spans="5:8" ht="12.75">
      <c r="E29" s="14" t="s">
        <v>120</v>
      </c>
      <c r="F29" s="14"/>
      <c r="G29" s="14"/>
      <c r="H29" s="95">
        <f>H28/H27</f>
        <v>0.6466380543633763</v>
      </c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D1" s="14"/>
      <c r="E1" s="14"/>
    </row>
    <row r="2" spans="4:23" ht="12.75"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4:23" ht="12.75">
      <c r="D3" s="45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45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45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45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100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8</v>
      </c>
      <c r="B12">
        <v>19</v>
      </c>
      <c r="C12" s="38">
        <f aca="true" t="shared" si="0" ref="C12:C18">A12/B12</f>
        <v>0.42105263157894735</v>
      </c>
      <c r="D12" s="37" t="s">
        <v>0</v>
      </c>
      <c r="E12" s="37">
        <v>99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17</v>
      </c>
      <c r="B13">
        <v>22</v>
      </c>
      <c r="C13" s="38">
        <f t="shared" si="0"/>
        <v>0.7727272727272727</v>
      </c>
      <c r="D13" s="37"/>
      <c r="E13" s="37">
        <v>99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17</v>
      </c>
      <c r="B14">
        <v>20</v>
      </c>
      <c r="C14" s="38">
        <f t="shared" si="0"/>
        <v>0.85</v>
      </c>
      <c r="D14" s="37"/>
      <c r="E14" s="37">
        <v>99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8</v>
      </c>
      <c r="B15">
        <v>11</v>
      </c>
      <c r="C15" s="38">
        <f t="shared" si="0"/>
        <v>0.7272727272727273</v>
      </c>
      <c r="D15" s="37"/>
      <c r="E15" s="37">
        <v>99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22</v>
      </c>
      <c r="B16">
        <v>32</v>
      </c>
      <c r="C16" s="38">
        <f t="shared" si="0"/>
        <v>0.6875</v>
      </c>
      <c r="D16" s="37"/>
      <c r="E16" s="37">
        <v>99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21</v>
      </c>
      <c r="B17">
        <v>28</v>
      </c>
      <c r="C17" s="38">
        <f t="shared" si="0"/>
        <v>0.75</v>
      </c>
      <c r="D17" s="37"/>
      <c r="E17" s="37">
        <v>99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93</v>
      </c>
      <c r="B18" s="14">
        <f>SUM(B12:B17)</f>
        <v>132</v>
      </c>
      <c r="C18" s="47">
        <f t="shared" si="0"/>
        <v>0.7045454545454546</v>
      </c>
      <c r="D18" s="45" t="s">
        <v>94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12</v>
      </c>
      <c r="B19">
        <v>20</v>
      </c>
      <c r="C19" s="38">
        <f aca="true" t="shared" si="1" ref="C19:C25">A19/B19</f>
        <v>0.6</v>
      </c>
      <c r="D19" s="37" t="s">
        <v>7</v>
      </c>
      <c r="E19" s="37">
        <v>35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27</v>
      </c>
      <c r="B20">
        <v>48</v>
      </c>
      <c r="C20" s="38">
        <f t="shared" si="1"/>
        <v>0.5625</v>
      </c>
      <c r="D20" s="37"/>
      <c r="E20" s="37">
        <v>35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15</v>
      </c>
      <c r="B21">
        <v>29</v>
      </c>
      <c r="C21" s="38">
        <f t="shared" si="1"/>
        <v>0.5172413793103449</v>
      </c>
      <c r="D21" s="37"/>
      <c r="E21" s="37">
        <v>35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36</v>
      </c>
      <c r="C22" s="38">
        <f t="shared" si="1"/>
        <v>0.7222222222222222</v>
      </c>
      <c r="D22" s="37"/>
      <c r="E22" s="37">
        <v>35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27</v>
      </c>
      <c r="B23">
        <v>39</v>
      </c>
      <c r="C23" s="38">
        <f t="shared" si="1"/>
        <v>0.6923076923076923</v>
      </c>
      <c r="D23" s="37"/>
      <c r="E23" s="37">
        <v>35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22</v>
      </c>
      <c r="B24">
        <v>32</v>
      </c>
      <c r="C24" s="38">
        <f t="shared" si="1"/>
        <v>0.6875</v>
      </c>
      <c r="D24" s="37"/>
      <c r="E24" s="37">
        <v>35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129</v>
      </c>
      <c r="B25" s="14">
        <f>SUM(B19:B24)</f>
        <v>204</v>
      </c>
      <c r="C25" s="47">
        <f t="shared" si="1"/>
        <v>0.6323529411764706</v>
      </c>
      <c r="D25" s="45" t="s">
        <v>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11</v>
      </c>
      <c r="B26">
        <v>18</v>
      </c>
      <c r="C26" s="38">
        <f aca="true" t="shared" si="2" ref="C26:C32">A26/B26</f>
        <v>0.6111111111111112</v>
      </c>
      <c r="D26" s="37" t="s">
        <v>10</v>
      </c>
      <c r="E26" s="37">
        <v>43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22</v>
      </c>
      <c r="B27">
        <v>42</v>
      </c>
      <c r="C27" s="38">
        <f t="shared" si="2"/>
        <v>0.5238095238095238</v>
      </c>
      <c r="D27" s="37"/>
      <c r="E27" s="37">
        <v>43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23</v>
      </c>
      <c r="B28">
        <v>32</v>
      </c>
      <c r="C28" s="38">
        <f t="shared" si="2"/>
        <v>0.71875</v>
      </c>
      <c r="D28" s="37"/>
      <c r="E28" s="37">
        <v>43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13</v>
      </c>
      <c r="B29">
        <v>20</v>
      </c>
      <c r="C29" s="38">
        <f t="shared" si="2"/>
        <v>0.65</v>
      </c>
      <c r="D29" s="37"/>
      <c r="E29" s="37">
        <v>43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26</v>
      </c>
      <c r="B30">
        <v>45</v>
      </c>
      <c r="C30" s="38">
        <f t="shared" si="2"/>
        <v>0.5777777777777777</v>
      </c>
      <c r="D30" s="37"/>
      <c r="E30" s="37">
        <v>43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11</v>
      </c>
      <c r="B31">
        <v>25</v>
      </c>
      <c r="C31" s="38">
        <f t="shared" si="2"/>
        <v>0.44</v>
      </c>
      <c r="D31" s="37"/>
      <c r="E31" s="37">
        <v>43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106</v>
      </c>
      <c r="B32" s="14">
        <f>SUM(B26:B31)</f>
        <v>182</v>
      </c>
      <c r="C32" s="47">
        <f t="shared" si="2"/>
        <v>0.5824175824175825</v>
      </c>
      <c r="D32" s="45" t="s">
        <v>94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22</v>
      </c>
      <c r="B33">
        <v>31</v>
      </c>
      <c r="C33" s="38">
        <f aca="true" t="shared" si="3" ref="C33:C39">A33/B33</f>
        <v>0.7096774193548387</v>
      </c>
      <c r="D33" s="37" t="s">
        <v>12</v>
      </c>
      <c r="E33" s="37">
        <v>99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35</v>
      </c>
      <c r="B34">
        <v>44</v>
      </c>
      <c r="C34" s="38">
        <f t="shared" si="3"/>
        <v>0.7954545454545454</v>
      </c>
      <c r="D34" s="37"/>
      <c r="E34" s="37">
        <v>99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45</v>
      </c>
      <c r="B35">
        <v>61</v>
      </c>
      <c r="C35" s="38">
        <f t="shared" si="3"/>
        <v>0.7377049180327869</v>
      </c>
      <c r="D35" s="37"/>
      <c r="E35" s="37">
        <v>99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42</v>
      </c>
      <c r="B36">
        <v>59</v>
      </c>
      <c r="C36" s="38">
        <f t="shared" si="3"/>
        <v>0.711864406779661</v>
      </c>
      <c r="D36" s="37"/>
      <c r="E36" s="37">
        <v>99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36</v>
      </c>
      <c r="B37">
        <v>53</v>
      </c>
      <c r="C37" s="38">
        <f t="shared" si="3"/>
        <v>0.6792452830188679</v>
      </c>
      <c r="D37" s="37"/>
      <c r="E37" s="37">
        <v>99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29</v>
      </c>
      <c r="B38">
        <v>41</v>
      </c>
      <c r="C38" s="38">
        <f t="shared" si="3"/>
        <v>0.7073170731707317</v>
      </c>
      <c r="D38" s="37"/>
      <c r="E38" s="37">
        <v>99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209</v>
      </c>
      <c r="B39" s="14">
        <f>SUM(B33:B38)</f>
        <v>289</v>
      </c>
      <c r="C39" s="47">
        <f t="shared" si="3"/>
        <v>0.7231833910034602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537</v>
      </c>
      <c r="B41" s="14">
        <f>B18+B25+B32+B39</f>
        <v>807</v>
      </c>
      <c r="C41" s="48">
        <f>A41/B41</f>
        <v>0.6654275092936803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53" right="0.25" top="0.52" bottom="0.35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E1" s="14"/>
    </row>
    <row r="2" ht="12.75">
      <c r="D2" s="14"/>
    </row>
    <row r="3" spans="4:23" ht="12.75">
      <c r="D3" s="14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14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14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14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99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10</v>
      </c>
      <c r="B12">
        <v>19</v>
      </c>
      <c r="C12" s="38">
        <f>A12/B12</f>
        <v>0.5263157894736842</v>
      </c>
      <c r="D12" s="37" t="s">
        <v>0</v>
      </c>
      <c r="E12" s="37">
        <v>98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5</v>
      </c>
      <c r="B13">
        <v>12</v>
      </c>
      <c r="C13" s="38">
        <f>A13/B13</f>
        <v>0.4166666666666667</v>
      </c>
      <c r="D13" s="37"/>
      <c r="E13" s="37">
        <v>98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13</v>
      </c>
      <c r="B14">
        <v>21</v>
      </c>
      <c r="C14" s="38">
        <f>A14/B14</f>
        <v>0.6190476190476191</v>
      </c>
      <c r="D14" s="37"/>
      <c r="E14" s="37">
        <v>98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15</v>
      </c>
      <c r="B15">
        <v>25</v>
      </c>
      <c r="C15" s="38">
        <f>A15/B15</f>
        <v>0.6</v>
      </c>
      <c r="D15" s="37"/>
      <c r="E15" s="37">
        <v>98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8</v>
      </c>
      <c r="B16">
        <v>15</v>
      </c>
      <c r="C16" s="38">
        <f>A16/B16</f>
        <v>0.5333333333333333</v>
      </c>
      <c r="D16" s="37"/>
      <c r="E16" s="37">
        <v>98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17</v>
      </c>
      <c r="B17">
        <v>26</v>
      </c>
      <c r="C17" s="38">
        <f aca="true" t="shared" si="0" ref="C17:C32">A17/B17</f>
        <v>0.6538461538461539</v>
      </c>
      <c r="D17" s="37"/>
      <c r="E17" s="37">
        <v>98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68</v>
      </c>
      <c r="B18" s="14">
        <f>SUM(B12:B17)</f>
        <v>118</v>
      </c>
      <c r="C18" s="47">
        <f t="shared" si="0"/>
        <v>0.576271186440678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20</v>
      </c>
      <c r="B19">
        <v>29</v>
      </c>
      <c r="C19" s="38">
        <f t="shared" si="0"/>
        <v>0.6896551724137931</v>
      </c>
      <c r="D19" s="37" t="s">
        <v>7</v>
      </c>
      <c r="E19" s="37">
        <v>34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18</v>
      </c>
      <c r="B20">
        <v>31</v>
      </c>
      <c r="C20" s="38">
        <f t="shared" si="0"/>
        <v>0.5806451612903226</v>
      </c>
      <c r="D20" s="37"/>
      <c r="E20" s="37">
        <v>34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22</v>
      </c>
      <c r="B21">
        <v>28</v>
      </c>
      <c r="C21" s="38">
        <f t="shared" si="0"/>
        <v>0.7857142857142857</v>
      </c>
      <c r="D21" s="37"/>
      <c r="E21" s="37">
        <v>34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31</v>
      </c>
      <c r="C22" s="38">
        <f t="shared" si="0"/>
        <v>0.8387096774193549</v>
      </c>
      <c r="D22" s="37"/>
      <c r="E22" s="37">
        <v>34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28</v>
      </c>
      <c r="B23">
        <v>37</v>
      </c>
      <c r="C23" s="38">
        <f t="shared" si="0"/>
        <v>0.7567567567567568</v>
      </c>
      <c r="D23" s="37"/>
      <c r="E23" s="37">
        <v>34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25</v>
      </c>
      <c r="B24">
        <v>31</v>
      </c>
      <c r="C24" s="38">
        <f t="shared" si="0"/>
        <v>0.8064516129032258</v>
      </c>
      <c r="D24" s="37"/>
      <c r="E24" s="37">
        <v>34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139</v>
      </c>
      <c r="B25" s="14">
        <f>SUM(B19:B24)</f>
        <v>187</v>
      </c>
      <c r="C25" s="47">
        <f>A25/B25</f>
        <v>0.7433155080213903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9</v>
      </c>
      <c r="B26">
        <v>14</v>
      </c>
      <c r="C26" s="38">
        <f t="shared" si="0"/>
        <v>0.6428571428571429</v>
      </c>
      <c r="D26" s="37" t="s">
        <v>10</v>
      </c>
      <c r="E26" s="37">
        <v>42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8</v>
      </c>
      <c r="B27">
        <v>17</v>
      </c>
      <c r="C27" s="38">
        <f t="shared" si="0"/>
        <v>0.47058823529411764</v>
      </c>
      <c r="D27" s="37"/>
      <c r="E27" s="37">
        <v>42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31</v>
      </c>
      <c r="B28">
        <v>43</v>
      </c>
      <c r="C28" s="38">
        <f t="shared" si="0"/>
        <v>0.7209302325581395</v>
      </c>
      <c r="D28" s="37"/>
      <c r="E28" s="37">
        <v>42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23</v>
      </c>
      <c r="B29">
        <v>30</v>
      </c>
      <c r="C29" s="38">
        <f t="shared" si="0"/>
        <v>0.7666666666666667</v>
      </c>
      <c r="D29" s="37"/>
      <c r="E29" s="37">
        <v>42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17</v>
      </c>
      <c r="B30">
        <v>30</v>
      </c>
      <c r="C30" s="38">
        <f t="shared" si="0"/>
        <v>0.5666666666666667</v>
      </c>
      <c r="D30" s="37"/>
      <c r="E30" s="37">
        <v>42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14</v>
      </c>
      <c r="B31">
        <v>22</v>
      </c>
      <c r="C31" s="38">
        <f t="shared" si="0"/>
        <v>0.6363636363636364</v>
      </c>
      <c r="D31" s="37"/>
      <c r="E31" s="37">
        <v>42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102</v>
      </c>
      <c r="B32" s="14">
        <f>SUM(B26:B31)</f>
        <v>156</v>
      </c>
      <c r="C32" s="47">
        <f t="shared" si="0"/>
        <v>0.6538461538461539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17</v>
      </c>
      <c r="B33">
        <v>30</v>
      </c>
      <c r="C33" s="38">
        <f aca="true" t="shared" si="1" ref="C33:C41">A33/B33</f>
        <v>0.5666666666666667</v>
      </c>
      <c r="D33" s="37" t="s">
        <v>12</v>
      </c>
      <c r="E33" s="37">
        <v>98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34</v>
      </c>
      <c r="B34">
        <v>49</v>
      </c>
      <c r="C34" s="38">
        <f t="shared" si="1"/>
        <v>0.6938775510204082</v>
      </c>
      <c r="D34" s="37"/>
      <c r="E34" s="37">
        <v>98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40</v>
      </c>
      <c r="B35">
        <v>56</v>
      </c>
      <c r="C35" s="38">
        <f t="shared" si="1"/>
        <v>0.7142857142857143</v>
      </c>
      <c r="D35" s="37"/>
      <c r="E35" s="37">
        <v>98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32</v>
      </c>
      <c r="B36">
        <v>43</v>
      </c>
      <c r="C36" s="38">
        <f t="shared" si="1"/>
        <v>0.7441860465116279</v>
      </c>
      <c r="D36" s="37"/>
      <c r="E36" s="37">
        <v>98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27</v>
      </c>
      <c r="B37">
        <v>43</v>
      </c>
      <c r="C37" s="38">
        <f t="shared" si="1"/>
        <v>0.627906976744186</v>
      </c>
      <c r="D37" s="37"/>
      <c r="E37" s="37">
        <v>98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51</v>
      </c>
      <c r="B38">
        <v>74</v>
      </c>
      <c r="C38" s="38">
        <f t="shared" si="1"/>
        <v>0.6891891891891891</v>
      </c>
      <c r="D38" s="37"/>
      <c r="E38" s="37">
        <v>98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201</v>
      </c>
      <c r="B39" s="14">
        <f>SUM(B33:B38)</f>
        <v>295</v>
      </c>
      <c r="C39" s="47">
        <f t="shared" si="1"/>
        <v>0.6813559322033899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510</v>
      </c>
      <c r="B41" s="14">
        <f>B18+B25+B32+B39</f>
        <v>756</v>
      </c>
      <c r="C41" s="48">
        <f t="shared" si="1"/>
        <v>0.6746031746031746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49" right="0.25" top="1" bottom="1" header="0.5" footer="0.5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11" topLeftCell="BM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28125" style="0" customWidth="1"/>
    <col min="2" max="2" width="3.28125" style="0" customWidth="1"/>
    <col min="3" max="9" width="4.28125" style="0" customWidth="1"/>
    <col min="10" max="10" width="5.14062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4.28125" style="0" customWidth="1"/>
    <col min="16" max="16" width="4.8515625" style="0" customWidth="1"/>
    <col min="17" max="28" width="4.28125" style="0" customWidth="1"/>
    <col min="29" max="29" width="6.8515625" style="0" customWidth="1"/>
    <col min="30" max="31" width="6.28125" style="0" customWidth="1"/>
    <col min="32" max="32" width="2.140625" style="0" customWidth="1"/>
    <col min="33" max="39" width="7.7109375" style="0" customWidth="1"/>
    <col min="40" max="40" width="2.140625" style="0" customWidth="1"/>
    <col min="41" max="46" width="7.7109375" style="0" customWidth="1"/>
    <col min="48" max="48" width="10.140625" style="0" customWidth="1"/>
    <col min="50" max="50" width="13.57421875" style="0" customWidth="1"/>
    <col min="51" max="51" width="17.00390625" style="0" customWidth="1"/>
  </cols>
  <sheetData>
    <row r="1" spans="1:2" ht="12.75">
      <c r="A1" s="14" t="s">
        <v>70</v>
      </c>
      <c r="B1" s="14"/>
    </row>
    <row r="2" ht="12.75">
      <c r="A2" s="14"/>
    </row>
    <row r="3" spans="1:19" ht="12.75">
      <c r="A3" s="14"/>
      <c r="B3" s="21" t="s">
        <v>60</v>
      </c>
      <c r="C3" s="22"/>
      <c r="D3" s="22"/>
      <c r="E3" s="22"/>
      <c r="F3" s="22"/>
      <c r="G3" s="22"/>
      <c r="H3" s="21" t="s">
        <v>88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  <c r="R3" s="41" t="s">
        <v>89</v>
      </c>
      <c r="S3" s="22"/>
    </row>
    <row r="4" spans="1:19" ht="12.75">
      <c r="A4" s="14"/>
      <c r="B4" s="21"/>
      <c r="C4" s="22" t="s">
        <v>63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  <c r="R4" s="22">
        <v>67</v>
      </c>
      <c r="S4" s="22"/>
    </row>
    <row r="5" spans="1:19" ht="12.75">
      <c r="A5" s="14"/>
      <c r="B5" s="21"/>
      <c r="C5" s="22" t="s">
        <v>109</v>
      </c>
      <c r="D5" s="22"/>
      <c r="E5" s="22"/>
      <c r="F5" s="22"/>
      <c r="G5" s="22"/>
      <c r="H5" s="27" t="s">
        <v>93</v>
      </c>
      <c r="I5" s="22"/>
      <c r="J5" s="24" t="s">
        <v>61</v>
      </c>
      <c r="K5" s="22"/>
      <c r="L5" s="25" t="s">
        <v>62</v>
      </c>
      <c r="M5" s="22"/>
      <c r="N5" s="26" t="s">
        <v>73</v>
      </c>
      <c r="O5" s="22"/>
      <c r="P5" s="26" t="s">
        <v>69</v>
      </c>
      <c r="Q5" s="22"/>
      <c r="R5" s="26" t="s">
        <v>91</v>
      </c>
      <c r="S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7" ht="12.75">
      <c r="A8" s="14"/>
      <c r="B8" s="14" t="s">
        <v>78</v>
      </c>
      <c r="AU8" s="28" t="s">
        <v>72</v>
      </c>
    </row>
    <row r="9" spans="1:51" ht="12.75">
      <c r="A9" s="31"/>
      <c r="B9" s="31"/>
      <c r="C9" s="31"/>
      <c r="D9" s="58" t="s">
        <v>87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" t="s">
        <v>79</v>
      </c>
      <c r="AD9" s="8" t="s">
        <v>80</v>
      </c>
      <c r="AE9" s="8" t="s">
        <v>81</v>
      </c>
      <c r="AF9" s="8"/>
      <c r="AG9" s="58" t="s">
        <v>82</v>
      </c>
      <c r="AH9" s="58"/>
      <c r="AI9" s="58"/>
      <c r="AJ9" s="58"/>
      <c r="AK9" s="58"/>
      <c r="AL9" s="58"/>
      <c r="AM9" s="58"/>
      <c r="AN9" s="30"/>
      <c r="AO9" s="58" t="s">
        <v>13</v>
      </c>
      <c r="AP9" s="58"/>
      <c r="AQ9" s="58"/>
      <c r="AR9" s="58"/>
      <c r="AS9" s="58"/>
      <c r="AT9" s="58"/>
      <c r="AU9" s="58"/>
      <c r="AV9" s="58"/>
      <c r="AY9" s="6" t="s">
        <v>101</v>
      </c>
    </row>
    <row r="10" spans="1:51" ht="12.75">
      <c r="A10" s="31"/>
      <c r="B10" s="31" t="s">
        <v>59</v>
      </c>
      <c r="C10" s="31" t="s">
        <v>58</v>
      </c>
      <c r="D10" s="32">
        <v>1</v>
      </c>
      <c r="E10" s="31">
        <v>2</v>
      </c>
      <c r="F10" s="31">
        <v>3</v>
      </c>
      <c r="G10" s="31">
        <v>4</v>
      </c>
      <c r="H10" s="32">
        <v>5</v>
      </c>
      <c r="I10" s="31">
        <v>6</v>
      </c>
      <c r="J10" s="31">
        <v>7</v>
      </c>
      <c r="K10" s="31">
        <v>8</v>
      </c>
      <c r="L10" s="32">
        <v>9</v>
      </c>
      <c r="M10" s="31">
        <v>10</v>
      </c>
      <c r="N10" s="31">
        <v>11</v>
      </c>
      <c r="O10" s="32">
        <v>12</v>
      </c>
      <c r="P10" s="31">
        <v>13</v>
      </c>
      <c r="Q10" s="31">
        <v>14</v>
      </c>
      <c r="R10" s="31">
        <v>15</v>
      </c>
      <c r="S10" s="32">
        <v>16</v>
      </c>
      <c r="T10" s="32">
        <v>17</v>
      </c>
      <c r="U10" s="32">
        <v>18</v>
      </c>
      <c r="V10" s="32">
        <v>19</v>
      </c>
      <c r="W10" s="31">
        <v>20</v>
      </c>
      <c r="X10" s="31">
        <v>23</v>
      </c>
      <c r="Y10" s="31">
        <v>24</v>
      </c>
      <c r="Z10" s="31">
        <v>27</v>
      </c>
      <c r="AA10" s="31">
        <v>30</v>
      </c>
      <c r="AB10" s="31">
        <v>33</v>
      </c>
      <c r="AC10" s="29" t="s">
        <v>83</v>
      </c>
      <c r="AD10" s="29" t="s">
        <v>83</v>
      </c>
      <c r="AE10" s="29" t="s">
        <v>84</v>
      </c>
      <c r="AF10" s="30"/>
      <c r="AG10" s="31" t="s">
        <v>3</v>
      </c>
      <c r="AH10" s="31" t="s">
        <v>4</v>
      </c>
      <c r="AI10" s="31" t="s">
        <v>2</v>
      </c>
      <c r="AJ10" s="33" t="s">
        <v>5</v>
      </c>
      <c r="AK10" s="31" t="s">
        <v>6</v>
      </c>
      <c r="AL10" s="31" t="s">
        <v>66</v>
      </c>
      <c r="AM10" s="31" t="s">
        <v>68</v>
      </c>
      <c r="AN10" s="34"/>
      <c r="AO10" s="35" t="s">
        <v>30</v>
      </c>
      <c r="AP10" s="35" t="s">
        <v>4</v>
      </c>
      <c r="AQ10" s="35" t="s">
        <v>2</v>
      </c>
      <c r="AR10" s="36" t="s">
        <v>5</v>
      </c>
      <c r="AS10" s="35" t="s">
        <v>6</v>
      </c>
      <c r="AT10" s="35" t="s">
        <v>66</v>
      </c>
      <c r="AU10" s="35" t="s">
        <v>67</v>
      </c>
      <c r="AV10" s="29" t="s">
        <v>9</v>
      </c>
      <c r="AW10" s="49" t="s">
        <v>104</v>
      </c>
      <c r="AX10" s="49" t="s">
        <v>106</v>
      </c>
      <c r="AY10" s="6" t="s">
        <v>103</v>
      </c>
    </row>
    <row r="11" spans="4:51" ht="12.75">
      <c r="D11" s="2"/>
      <c r="H11" s="2"/>
      <c r="L11" s="2"/>
      <c r="O11" s="2"/>
      <c r="S11" s="2"/>
      <c r="T11" s="2"/>
      <c r="U11" s="2"/>
      <c r="V11" s="2"/>
      <c r="AG11" s="20">
        <v>37</v>
      </c>
      <c r="AH11" s="20">
        <v>64</v>
      </c>
      <c r="AI11" s="20">
        <v>124</v>
      </c>
      <c r="AJ11" s="20">
        <v>177</v>
      </c>
      <c r="AK11" s="20">
        <v>232</v>
      </c>
      <c r="AL11" s="20">
        <v>290</v>
      </c>
      <c r="AM11" s="42" t="s">
        <v>90</v>
      </c>
      <c r="AN11" s="11"/>
      <c r="AO11" s="6"/>
      <c r="AP11" s="6"/>
      <c r="AQ11" s="6"/>
      <c r="AR11" s="7"/>
      <c r="AS11" s="6"/>
      <c r="AT11" s="6"/>
      <c r="AU11" s="6"/>
      <c r="AV11" s="8"/>
      <c r="AW11" s="6" t="s">
        <v>105</v>
      </c>
      <c r="AX11" s="6" t="s">
        <v>107</v>
      </c>
      <c r="AY11" s="20">
        <f>SUM(AG11:AK11)</f>
        <v>634</v>
      </c>
    </row>
    <row r="12" spans="1:48" ht="12.75">
      <c r="A12" s="37" t="s">
        <v>0</v>
      </c>
      <c r="B12" s="37">
        <v>97</v>
      </c>
      <c r="C12" s="37">
        <v>1</v>
      </c>
      <c r="D12" s="37"/>
      <c r="E12" s="37"/>
      <c r="F12" s="37"/>
      <c r="G12" s="37"/>
      <c r="H12" s="37"/>
      <c r="I12" s="37">
        <v>2</v>
      </c>
      <c r="J12" s="37">
        <v>2</v>
      </c>
      <c r="K12" s="37">
        <v>2</v>
      </c>
      <c r="L12" s="37">
        <v>1</v>
      </c>
      <c r="M12" s="37">
        <v>2</v>
      </c>
      <c r="N12" s="37"/>
      <c r="O12" s="37"/>
      <c r="P12" s="37">
        <v>2</v>
      </c>
      <c r="Q12" s="37"/>
      <c r="R12" s="37"/>
      <c r="S12" s="37"/>
      <c r="T12" s="37"/>
      <c r="U12" s="37"/>
      <c r="V12" s="37"/>
      <c r="W12" s="37">
        <v>1</v>
      </c>
      <c r="X12" s="37"/>
      <c r="Y12" s="37"/>
      <c r="Z12" s="37"/>
      <c r="AA12" s="37"/>
      <c r="AB12" s="37"/>
      <c r="AC12" s="37">
        <f aca="true" t="shared" si="0" ref="AC12:AC17">SUM(D12:AB12)</f>
        <v>12</v>
      </c>
      <c r="AD12" s="37">
        <v>20</v>
      </c>
      <c r="AE12" s="38">
        <f>AC12/AD12</f>
        <v>0.6</v>
      </c>
      <c r="AF12" s="38"/>
      <c r="AG12">
        <f aca="true" t="shared" si="1" ref="AG12:AG17">D12+E12</f>
        <v>0</v>
      </c>
      <c r="AH12">
        <f aca="true" t="shared" si="2" ref="AH12:AH17">F12+G12</f>
        <v>0</v>
      </c>
      <c r="AI12">
        <f aca="true" t="shared" si="3" ref="AI12:AI17">SUM(H12:K12)</f>
        <v>6</v>
      </c>
      <c r="AJ12">
        <f aca="true" t="shared" si="4" ref="AJ12:AJ17">SUM(L12:O12)</f>
        <v>3</v>
      </c>
      <c r="AK12">
        <f aca="true" t="shared" si="5" ref="AK12:AK17">SUM(P12:S12)</f>
        <v>2</v>
      </c>
      <c r="AL12">
        <f>SUM(T12:W12)</f>
        <v>1</v>
      </c>
      <c r="AM12">
        <f>SUM(X12:AB12)</f>
        <v>0</v>
      </c>
      <c r="AO12" s="12">
        <f aca="true" t="shared" si="6" ref="AO12:AT38">AG12*AG$11</f>
        <v>0</v>
      </c>
      <c r="AP12" s="12">
        <f t="shared" si="6"/>
        <v>0</v>
      </c>
      <c r="AQ12" s="12">
        <f t="shared" si="6"/>
        <v>744</v>
      </c>
      <c r="AR12" s="12">
        <f t="shared" si="6"/>
        <v>531</v>
      </c>
      <c r="AS12" s="12">
        <f t="shared" si="6"/>
        <v>464</v>
      </c>
      <c r="AT12" s="12">
        <f>AL12*AL$11</f>
        <v>290</v>
      </c>
      <c r="AU12" s="12">
        <v>0</v>
      </c>
      <c r="AV12" s="10">
        <f>SUM(AO12:AU12)</f>
        <v>2029</v>
      </c>
    </row>
    <row r="13" spans="1:48" ht="12.75">
      <c r="A13" s="37"/>
      <c r="B13" s="37">
        <v>97</v>
      </c>
      <c r="C13" s="37">
        <v>2</v>
      </c>
      <c r="D13" s="37">
        <v>1</v>
      </c>
      <c r="E13" s="37">
        <v>1</v>
      </c>
      <c r="F13" s="37"/>
      <c r="G13" s="37"/>
      <c r="H13" s="37">
        <v>3</v>
      </c>
      <c r="I13" s="37">
        <v>1</v>
      </c>
      <c r="J13" s="37">
        <v>2</v>
      </c>
      <c r="K13" s="37">
        <v>3</v>
      </c>
      <c r="L13" s="37">
        <v>2</v>
      </c>
      <c r="M13" s="37">
        <v>3</v>
      </c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7">
        <f t="shared" si="0"/>
        <v>18</v>
      </c>
      <c r="AD13" s="37">
        <v>19</v>
      </c>
      <c r="AE13" s="38">
        <f aca="true" t="shared" si="7" ref="AE13:AE38">AC13/AD13</f>
        <v>0.9473684210526315</v>
      </c>
      <c r="AF13" s="38"/>
      <c r="AG13">
        <f t="shared" si="1"/>
        <v>2</v>
      </c>
      <c r="AH13">
        <f t="shared" si="2"/>
        <v>0</v>
      </c>
      <c r="AI13">
        <f t="shared" si="3"/>
        <v>9</v>
      </c>
      <c r="AJ13">
        <f t="shared" si="4"/>
        <v>6</v>
      </c>
      <c r="AK13">
        <f t="shared" si="5"/>
        <v>0</v>
      </c>
      <c r="AL13">
        <f aca="true" t="shared" si="8" ref="AL13:AL38">SUM(T13:W13)</f>
        <v>0</v>
      </c>
      <c r="AM13">
        <f aca="true" t="shared" si="9" ref="AM13:AM37">SUM(X13:AB13)</f>
        <v>1</v>
      </c>
      <c r="AO13" s="12">
        <f t="shared" si="6"/>
        <v>74</v>
      </c>
      <c r="AP13" s="12">
        <f t="shared" si="6"/>
        <v>0</v>
      </c>
      <c r="AQ13" s="12">
        <f t="shared" si="6"/>
        <v>1116</v>
      </c>
      <c r="AR13" s="12">
        <f t="shared" si="6"/>
        <v>1062</v>
      </c>
      <c r="AS13" s="12">
        <f t="shared" si="6"/>
        <v>0</v>
      </c>
      <c r="AT13" s="12">
        <f t="shared" si="6"/>
        <v>0</v>
      </c>
      <c r="AU13" s="12">
        <v>348</v>
      </c>
      <c r="AV13" s="10">
        <f aca="true" t="shared" si="10" ref="AV13:AV38">SUM(AO13:AU13)</f>
        <v>2600</v>
      </c>
    </row>
    <row r="14" spans="1:48" ht="12.75">
      <c r="A14" s="37"/>
      <c r="B14" s="37">
        <v>97</v>
      </c>
      <c r="C14" s="37">
        <v>3</v>
      </c>
      <c r="D14" s="37"/>
      <c r="E14" s="37"/>
      <c r="F14" s="37"/>
      <c r="G14" s="37">
        <v>1</v>
      </c>
      <c r="H14" s="37">
        <v>5</v>
      </c>
      <c r="I14" s="37">
        <v>1</v>
      </c>
      <c r="J14" s="37">
        <v>1</v>
      </c>
      <c r="K14" s="37">
        <v>4</v>
      </c>
      <c r="L14" s="37">
        <v>2</v>
      </c>
      <c r="M14" s="37">
        <v>1</v>
      </c>
      <c r="N14" s="37">
        <v>1</v>
      </c>
      <c r="O14" s="37"/>
      <c r="P14" s="37">
        <v>1</v>
      </c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18</v>
      </c>
      <c r="AD14" s="37">
        <v>30</v>
      </c>
      <c r="AE14" s="38">
        <f t="shared" si="7"/>
        <v>0.6</v>
      </c>
      <c r="AF14" s="38"/>
      <c r="AG14">
        <f t="shared" si="1"/>
        <v>0</v>
      </c>
      <c r="AH14">
        <f t="shared" si="2"/>
        <v>1</v>
      </c>
      <c r="AI14">
        <f t="shared" si="3"/>
        <v>11</v>
      </c>
      <c r="AJ14">
        <f t="shared" si="4"/>
        <v>4</v>
      </c>
      <c r="AK14">
        <f t="shared" si="5"/>
        <v>2</v>
      </c>
      <c r="AL14">
        <f t="shared" si="8"/>
        <v>0</v>
      </c>
      <c r="AM14">
        <f t="shared" si="9"/>
        <v>0</v>
      </c>
      <c r="AO14" s="12">
        <f t="shared" si="6"/>
        <v>0</v>
      </c>
      <c r="AP14" s="12">
        <f t="shared" si="6"/>
        <v>64</v>
      </c>
      <c r="AQ14" s="12">
        <f t="shared" si="6"/>
        <v>1364</v>
      </c>
      <c r="AR14" s="12">
        <f t="shared" si="6"/>
        <v>708</v>
      </c>
      <c r="AS14" s="12">
        <f t="shared" si="6"/>
        <v>464</v>
      </c>
      <c r="AT14" s="12">
        <f t="shared" si="6"/>
        <v>0</v>
      </c>
      <c r="AU14" s="12">
        <v>0</v>
      </c>
      <c r="AV14" s="10">
        <f t="shared" si="10"/>
        <v>2600</v>
      </c>
    </row>
    <row r="15" spans="1:48" ht="12.75">
      <c r="A15" s="37"/>
      <c r="B15" s="37">
        <v>97</v>
      </c>
      <c r="C15" s="37">
        <v>4</v>
      </c>
      <c r="D15" s="37"/>
      <c r="E15" s="37"/>
      <c r="F15" s="37">
        <v>1</v>
      </c>
      <c r="G15" s="37">
        <v>1</v>
      </c>
      <c r="H15" s="37">
        <v>3</v>
      </c>
      <c r="I15" s="37">
        <v>5</v>
      </c>
      <c r="J15" s="37"/>
      <c r="K15" s="37">
        <v>1</v>
      </c>
      <c r="L15" s="37">
        <v>2</v>
      </c>
      <c r="M15" s="37"/>
      <c r="N15" s="37">
        <v>2</v>
      </c>
      <c r="O15" s="37">
        <v>1</v>
      </c>
      <c r="P15" s="37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19</v>
      </c>
      <c r="AD15" s="37">
        <v>31</v>
      </c>
      <c r="AE15" s="38">
        <f t="shared" si="7"/>
        <v>0.6129032258064516</v>
      </c>
      <c r="AF15" s="38"/>
      <c r="AG15">
        <f t="shared" si="1"/>
        <v>0</v>
      </c>
      <c r="AH15">
        <f t="shared" si="2"/>
        <v>2</v>
      </c>
      <c r="AI15">
        <f t="shared" si="3"/>
        <v>9</v>
      </c>
      <c r="AJ15">
        <f t="shared" si="4"/>
        <v>5</v>
      </c>
      <c r="AK15">
        <f t="shared" si="5"/>
        <v>3</v>
      </c>
      <c r="AL15">
        <f t="shared" si="8"/>
        <v>0</v>
      </c>
      <c r="AM15">
        <f t="shared" si="9"/>
        <v>0</v>
      </c>
      <c r="AO15" s="12">
        <f t="shared" si="6"/>
        <v>0</v>
      </c>
      <c r="AP15" s="12">
        <f t="shared" si="6"/>
        <v>128</v>
      </c>
      <c r="AQ15" s="12">
        <f t="shared" si="6"/>
        <v>1116</v>
      </c>
      <c r="AR15" s="12">
        <f t="shared" si="6"/>
        <v>885</v>
      </c>
      <c r="AS15" s="12">
        <f t="shared" si="6"/>
        <v>696</v>
      </c>
      <c r="AT15" s="12">
        <f t="shared" si="6"/>
        <v>0</v>
      </c>
      <c r="AU15" s="12">
        <v>0</v>
      </c>
      <c r="AV15" s="10">
        <f t="shared" si="10"/>
        <v>2825</v>
      </c>
    </row>
    <row r="16" spans="1:48" ht="12.75">
      <c r="A16" s="37"/>
      <c r="B16" s="37">
        <v>97</v>
      </c>
      <c r="C16" s="37">
        <v>5</v>
      </c>
      <c r="D16" s="37"/>
      <c r="E16" s="37"/>
      <c r="F16" s="37"/>
      <c r="G16" s="37"/>
      <c r="H16" s="37">
        <v>5</v>
      </c>
      <c r="I16" s="37">
        <v>1</v>
      </c>
      <c r="J16" s="37">
        <v>2</v>
      </c>
      <c r="K16" s="37">
        <v>3</v>
      </c>
      <c r="L16" s="37">
        <v>2</v>
      </c>
      <c r="M16" s="37">
        <v>2</v>
      </c>
      <c r="N16" s="37">
        <v>1</v>
      </c>
      <c r="O16" s="37"/>
      <c r="P16" s="37"/>
      <c r="Q16" s="37">
        <v>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17</v>
      </c>
      <c r="AD16" s="37">
        <v>27</v>
      </c>
      <c r="AE16" s="38">
        <f t="shared" si="7"/>
        <v>0.6296296296296297</v>
      </c>
      <c r="AF16" s="38"/>
      <c r="AG16">
        <f t="shared" si="1"/>
        <v>0</v>
      </c>
      <c r="AH16">
        <f t="shared" si="2"/>
        <v>0</v>
      </c>
      <c r="AI16">
        <f t="shared" si="3"/>
        <v>11</v>
      </c>
      <c r="AJ16">
        <f t="shared" si="4"/>
        <v>5</v>
      </c>
      <c r="AK16">
        <f t="shared" si="5"/>
        <v>1</v>
      </c>
      <c r="AL16">
        <f t="shared" si="8"/>
        <v>0</v>
      </c>
      <c r="AM16">
        <f t="shared" si="9"/>
        <v>0</v>
      </c>
      <c r="AO16" s="12">
        <f t="shared" si="6"/>
        <v>0</v>
      </c>
      <c r="AP16" s="12">
        <f t="shared" si="6"/>
        <v>0</v>
      </c>
      <c r="AQ16" s="12">
        <f t="shared" si="6"/>
        <v>1364</v>
      </c>
      <c r="AR16" s="12">
        <f t="shared" si="6"/>
        <v>885</v>
      </c>
      <c r="AS16" s="12">
        <f t="shared" si="6"/>
        <v>232</v>
      </c>
      <c r="AT16" s="12">
        <f t="shared" si="6"/>
        <v>0</v>
      </c>
      <c r="AU16" s="12">
        <v>0</v>
      </c>
      <c r="AV16" s="10">
        <f t="shared" si="10"/>
        <v>2481</v>
      </c>
    </row>
    <row r="17" spans="1:50" ht="12.75">
      <c r="A17" s="37"/>
      <c r="B17" s="37">
        <v>97</v>
      </c>
      <c r="C17" s="37">
        <v>6</v>
      </c>
      <c r="D17" s="37"/>
      <c r="E17" s="37"/>
      <c r="F17" s="37">
        <v>1</v>
      </c>
      <c r="G17" s="37"/>
      <c r="H17" s="37">
        <v>2</v>
      </c>
      <c r="I17" s="37">
        <v>5</v>
      </c>
      <c r="J17" s="37">
        <v>4</v>
      </c>
      <c r="K17" s="37">
        <v>2</v>
      </c>
      <c r="L17" s="37">
        <v>2</v>
      </c>
      <c r="M17" s="37">
        <v>2</v>
      </c>
      <c r="N17" s="37">
        <v>1</v>
      </c>
      <c r="O17" s="37">
        <v>2</v>
      </c>
      <c r="P17" s="37"/>
      <c r="Q17" s="37"/>
      <c r="R17" s="37"/>
      <c r="S17" s="37"/>
      <c r="T17" s="37"/>
      <c r="U17" s="37"/>
      <c r="V17" s="37"/>
      <c r="W17" s="37"/>
      <c r="X17" s="37">
        <v>1</v>
      </c>
      <c r="Y17" s="37"/>
      <c r="Z17" s="37"/>
      <c r="AA17" s="37">
        <v>1</v>
      </c>
      <c r="AB17" s="37">
        <v>1</v>
      </c>
      <c r="AC17" s="37">
        <f t="shared" si="0"/>
        <v>24</v>
      </c>
      <c r="AD17" s="37">
        <v>26</v>
      </c>
      <c r="AE17" s="38">
        <f t="shared" si="7"/>
        <v>0.9230769230769231</v>
      </c>
      <c r="AF17" s="38"/>
      <c r="AG17">
        <f t="shared" si="1"/>
        <v>0</v>
      </c>
      <c r="AH17">
        <f t="shared" si="2"/>
        <v>1</v>
      </c>
      <c r="AI17">
        <f t="shared" si="3"/>
        <v>13</v>
      </c>
      <c r="AJ17">
        <f t="shared" si="4"/>
        <v>7</v>
      </c>
      <c r="AK17">
        <f t="shared" si="5"/>
        <v>0</v>
      </c>
      <c r="AL17">
        <f t="shared" si="8"/>
        <v>0</v>
      </c>
      <c r="AM17">
        <f t="shared" si="9"/>
        <v>3</v>
      </c>
      <c r="AO17" s="12">
        <f t="shared" si="6"/>
        <v>0</v>
      </c>
      <c r="AP17" s="12">
        <f t="shared" si="6"/>
        <v>64</v>
      </c>
      <c r="AQ17" s="12">
        <f t="shared" si="6"/>
        <v>1612</v>
      </c>
      <c r="AR17" s="12">
        <f t="shared" si="6"/>
        <v>1239</v>
      </c>
      <c r="AS17" s="12">
        <f t="shared" si="6"/>
        <v>0</v>
      </c>
      <c r="AT17" s="12">
        <f t="shared" si="6"/>
        <v>0</v>
      </c>
      <c r="AU17" s="12">
        <v>1334</v>
      </c>
      <c r="AV17" s="10">
        <f t="shared" si="10"/>
        <v>4249</v>
      </c>
      <c r="AW17" s="3">
        <f>SUM(AV12:AV17)</f>
        <v>16784</v>
      </c>
      <c r="AX17" s="4">
        <f>AW17/AC18</f>
        <v>155.40740740740742</v>
      </c>
    </row>
    <row r="18" spans="1:4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B18" s="46" t="s">
        <v>98</v>
      </c>
      <c r="AC18" s="37">
        <f>SUM(AC12:AC17)</f>
        <v>108</v>
      </c>
      <c r="AD18" s="37">
        <f>SUM(AD12:AD17)</f>
        <v>153</v>
      </c>
      <c r="AE18" s="38">
        <f t="shared" si="7"/>
        <v>0.7058823529411765</v>
      </c>
      <c r="AF18" s="38"/>
      <c r="AL18">
        <f t="shared" si="8"/>
        <v>0</v>
      </c>
      <c r="AM18">
        <f>SUM(X18:AB18)</f>
        <v>0</v>
      </c>
      <c r="AO18" s="12"/>
      <c r="AP18" s="12"/>
      <c r="AQ18" s="12"/>
      <c r="AR18" s="12"/>
      <c r="AS18" s="12"/>
      <c r="AT18" s="12"/>
      <c r="AU18" s="12"/>
      <c r="AV18" s="10"/>
    </row>
    <row r="19" spans="1:48" ht="12.75">
      <c r="A19" s="37" t="s">
        <v>7</v>
      </c>
      <c r="B19" s="37">
        <v>33</v>
      </c>
      <c r="C19" s="37">
        <v>1</v>
      </c>
      <c r="D19" s="37"/>
      <c r="E19" s="37"/>
      <c r="F19" s="37"/>
      <c r="G19" s="37"/>
      <c r="H19" s="37"/>
      <c r="I19" s="37"/>
      <c r="J19" s="37">
        <v>2</v>
      </c>
      <c r="K19" s="37">
        <v>1</v>
      </c>
      <c r="L19" s="37">
        <v>2</v>
      </c>
      <c r="M19" s="37">
        <v>1</v>
      </c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aca="true" t="shared" si="11" ref="AC19:AC38">SUM(D19:AB19)</f>
        <v>8</v>
      </c>
      <c r="AD19" s="37">
        <v>12</v>
      </c>
      <c r="AE19" s="38">
        <f t="shared" si="7"/>
        <v>0.6666666666666666</v>
      </c>
      <c r="AF19" s="38"/>
      <c r="AG19">
        <f aca="true" t="shared" si="12" ref="AG19:AG24">D19+E19</f>
        <v>0</v>
      </c>
      <c r="AH19">
        <f aca="true" t="shared" si="13" ref="AH19:AH24">F19+G19</f>
        <v>0</v>
      </c>
      <c r="AI19">
        <f aca="true" t="shared" si="14" ref="AI19:AI24">SUM(H19:K19)</f>
        <v>3</v>
      </c>
      <c r="AJ19">
        <f aca="true" t="shared" si="15" ref="AJ19:AJ24">SUM(L19:O19)</f>
        <v>5</v>
      </c>
      <c r="AK19">
        <f aca="true" t="shared" si="16" ref="AK19:AK24">SUM(P19:S19)</f>
        <v>0</v>
      </c>
      <c r="AL19">
        <f t="shared" si="8"/>
        <v>0</v>
      </c>
      <c r="AM19">
        <f t="shared" si="9"/>
        <v>0</v>
      </c>
      <c r="AO19" s="12">
        <f t="shared" si="6"/>
        <v>0</v>
      </c>
      <c r="AP19" s="12">
        <f t="shared" si="6"/>
        <v>0</v>
      </c>
      <c r="AQ19" s="12">
        <f t="shared" si="6"/>
        <v>372</v>
      </c>
      <c r="AR19" s="12">
        <f t="shared" si="6"/>
        <v>885</v>
      </c>
      <c r="AS19" s="12">
        <f t="shared" si="6"/>
        <v>0</v>
      </c>
      <c r="AT19" s="12">
        <f t="shared" si="6"/>
        <v>0</v>
      </c>
      <c r="AU19" s="12">
        <v>0</v>
      </c>
      <c r="AV19" s="10">
        <f t="shared" si="10"/>
        <v>1257</v>
      </c>
    </row>
    <row r="20" spans="1:48" ht="12.75">
      <c r="A20" s="37"/>
      <c r="B20" s="37">
        <v>33</v>
      </c>
      <c r="C20" s="37">
        <v>2</v>
      </c>
      <c r="D20" s="37"/>
      <c r="E20" s="37"/>
      <c r="F20" s="37"/>
      <c r="G20" s="37"/>
      <c r="H20" s="37"/>
      <c r="I20" s="37">
        <v>5</v>
      </c>
      <c r="J20" s="37">
        <v>4</v>
      </c>
      <c r="K20" s="37">
        <v>7</v>
      </c>
      <c r="L20" s="37">
        <v>5</v>
      </c>
      <c r="M20" s="37">
        <v>4</v>
      </c>
      <c r="N20" s="37">
        <v>1</v>
      </c>
      <c r="O20" s="37">
        <v>1</v>
      </c>
      <c r="P20" s="37"/>
      <c r="Q20" s="37">
        <v>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11"/>
        <v>28</v>
      </c>
      <c r="AD20" s="37">
        <v>43</v>
      </c>
      <c r="AE20" s="38">
        <f t="shared" si="7"/>
        <v>0.6511627906976745</v>
      </c>
      <c r="AF20" s="38"/>
      <c r="AG20">
        <f t="shared" si="12"/>
        <v>0</v>
      </c>
      <c r="AH20">
        <f t="shared" si="13"/>
        <v>0</v>
      </c>
      <c r="AI20">
        <f t="shared" si="14"/>
        <v>16</v>
      </c>
      <c r="AJ20">
        <f t="shared" si="15"/>
        <v>11</v>
      </c>
      <c r="AK20">
        <f t="shared" si="16"/>
        <v>1</v>
      </c>
      <c r="AL20">
        <f t="shared" si="8"/>
        <v>0</v>
      </c>
      <c r="AM20">
        <f t="shared" si="9"/>
        <v>0</v>
      </c>
      <c r="AO20" s="12">
        <f t="shared" si="6"/>
        <v>0</v>
      </c>
      <c r="AP20" s="12">
        <f t="shared" si="6"/>
        <v>0</v>
      </c>
      <c r="AQ20" s="12">
        <f t="shared" si="6"/>
        <v>1984</v>
      </c>
      <c r="AR20" s="12">
        <f t="shared" si="6"/>
        <v>1947</v>
      </c>
      <c r="AS20" s="12">
        <f t="shared" si="6"/>
        <v>232</v>
      </c>
      <c r="AT20" s="12">
        <f t="shared" si="6"/>
        <v>0</v>
      </c>
      <c r="AU20" s="12">
        <v>0</v>
      </c>
      <c r="AV20" s="10">
        <f t="shared" si="10"/>
        <v>4163</v>
      </c>
    </row>
    <row r="21" spans="1:48" ht="12.75">
      <c r="A21" s="37"/>
      <c r="B21" s="37">
        <v>33</v>
      </c>
      <c r="C21" s="37">
        <v>3</v>
      </c>
      <c r="D21" s="37"/>
      <c r="E21" s="37"/>
      <c r="F21" s="37">
        <v>1</v>
      </c>
      <c r="G21" s="37"/>
      <c r="H21" s="37">
        <v>1</v>
      </c>
      <c r="I21" s="37"/>
      <c r="J21" s="37">
        <v>2</v>
      </c>
      <c r="K21" s="37">
        <v>5</v>
      </c>
      <c r="L21" s="37">
        <v>3</v>
      </c>
      <c r="M21" s="37">
        <v>3</v>
      </c>
      <c r="N21" s="37">
        <v>3</v>
      </c>
      <c r="O21" s="37">
        <v>2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1"/>
        <v>20</v>
      </c>
      <c r="AD21" s="37">
        <v>37</v>
      </c>
      <c r="AE21" s="39">
        <f t="shared" si="7"/>
        <v>0.5405405405405406</v>
      </c>
      <c r="AF21" s="39"/>
      <c r="AG21">
        <f t="shared" si="12"/>
        <v>0</v>
      </c>
      <c r="AH21">
        <f t="shared" si="13"/>
        <v>1</v>
      </c>
      <c r="AI21">
        <f t="shared" si="14"/>
        <v>8</v>
      </c>
      <c r="AJ21">
        <f t="shared" si="15"/>
        <v>11</v>
      </c>
      <c r="AK21">
        <f t="shared" si="16"/>
        <v>0</v>
      </c>
      <c r="AL21">
        <f t="shared" si="8"/>
        <v>0</v>
      </c>
      <c r="AM21">
        <f t="shared" si="9"/>
        <v>0</v>
      </c>
      <c r="AO21" s="12">
        <f t="shared" si="6"/>
        <v>0</v>
      </c>
      <c r="AP21" s="12">
        <f t="shared" si="6"/>
        <v>64</v>
      </c>
      <c r="AQ21" s="12">
        <f t="shared" si="6"/>
        <v>992</v>
      </c>
      <c r="AR21" s="12">
        <f t="shared" si="6"/>
        <v>1947</v>
      </c>
      <c r="AS21" s="12">
        <f t="shared" si="6"/>
        <v>0</v>
      </c>
      <c r="AT21" s="12">
        <f t="shared" si="6"/>
        <v>0</v>
      </c>
      <c r="AU21" s="12">
        <v>0</v>
      </c>
      <c r="AV21" s="10">
        <f t="shared" si="10"/>
        <v>3003</v>
      </c>
    </row>
    <row r="22" spans="1:48" ht="12.75">
      <c r="A22" s="37"/>
      <c r="B22" s="37">
        <v>33</v>
      </c>
      <c r="C22" s="37">
        <v>4</v>
      </c>
      <c r="D22" s="37"/>
      <c r="E22" s="37"/>
      <c r="F22" s="37"/>
      <c r="G22" s="37"/>
      <c r="H22" s="37">
        <v>5</v>
      </c>
      <c r="I22" s="37">
        <v>3</v>
      </c>
      <c r="J22" s="37">
        <v>7</v>
      </c>
      <c r="K22" s="37">
        <v>6</v>
      </c>
      <c r="L22" s="37">
        <v>3</v>
      </c>
      <c r="M22" s="37">
        <v>2</v>
      </c>
      <c r="N22" s="37">
        <v>3</v>
      </c>
      <c r="O22" s="37">
        <v>1</v>
      </c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1"/>
        <v>31</v>
      </c>
      <c r="AD22" s="37">
        <v>42</v>
      </c>
      <c r="AE22" s="39">
        <f t="shared" si="7"/>
        <v>0.7380952380952381</v>
      </c>
      <c r="AF22" s="39"/>
      <c r="AG22">
        <f t="shared" si="12"/>
        <v>0</v>
      </c>
      <c r="AH22">
        <f t="shared" si="13"/>
        <v>0</v>
      </c>
      <c r="AI22">
        <f t="shared" si="14"/>
        <v>21</v>
      </c>
      <c r="AJ22">
        <f t="shared" si="15"/>
        <v>9</v>
      </c>
      <c r="AK22">
        <f t="shared" si="16"/>
        <v>1</v>
      </c>
      <c r="AL22">
        <f t="shared" si="8"/>
        <v>0</v>
      </c>
      <c r="AM22">
        <f t="shared" si="9"/>
        <v>0</v>
      </c>
      <c r="AO22" s="12">
        <f t="shared" si="6"/>
        <v>0</v>
      </c>
      <c r="AP22" s="12">
        <f t="shared" si="6"/>
        <v>0</v>
      </c>
      <c r="AQ22" s="12">
        <f t="shared" si="6"/>
        <v>2604</v>
      </c>
      <c r="AR22" s="12">
        <f t="shared" si="6"/>
        <v>1593</v>
      </c>
      <c r="AS22" s="12">
        <f t="shared" si="6"/>
        <v>232</v>
      </c>
      <c r="AT22" s="12">
        <f t="shared" si="6"/>
        <v>0</v>
      </c>
      <c r="AU22" s="12">
        <v>0</v>
      </c>
      <c r="AV22" s="10">
        <f t="shared" si="10"/>
        <v>4429</v>
      </c>
    </row>
    <row r="23" spans="1:48" ht="12.75">
      <c r="A23" s="37"/>
      <c r="B23" s="37">
        <v>33</v>
      </c>
      <c r="C23" s="37">
        <v>5</v>
      </c>
      <c r="D23" s="37"/>
      <c r="E23" s="37"/>
      <c r="F23" s="37"/>
      <c r="G23" s="37">
        <v>1</v>
      </c>
      <c r="H23" s="37">
        <v>3</v>
      </c>
      <c r="I23" s="37">
        <v>5</v>
      </c>
      <c r="J23" s="37">
        <v>3</v>
      </c>
      <c r="K23" s="37">
        <v>7</v>
      </c>
      <c r="L23" s="37">
        <v>5</v>
      </c>
      <c r="M23" s="37">
        <v>4</v>
      </c>
      <c r="N23" s="37">
        <v>4</v>
      </c>
      <c r="O23" s="37">
        <v>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11"/>
        <v>33</v>
      </c>
      <c r="AD23" s="37">
        <v>47</v>
      </c>
      <c r="AE23" s="39">
        <f t="shared" si="7"/>
        <v>0.7021276595744681</v>
      </c>
      <c r="AF23" s="39"/>
      <c r="AG23">
        <f t="shared" si="12"/>
        <v>0</v>
      </c>
      <c r="AH23">
        <f t="shared" si="13"/>
        <v>1</v>
      </c>
      <c r="AI23">
        <f t="shared" si="14"/>
        <v>18</v>
      </c>
      <c r="AJ23">
        <f t="shared" si="15"/>
        <v>14</v>
      </c>
      <c r="AK23">
        <f t="shared" si="16"/>
        <v>0</v>
      </c>
      <c r="AL23">
        <f t="shared" si="8"/>
        <v>0</v>
      </c>
      <c r="AM23">
        <f t="shared" si="9"/>
        <v>0</v>
      </c>
      <c r="AO23" s="12">
        <f t="shared" si="6"/>
        <v>0</v>
      </c>
      <c r="AP23" s="12">
        <f t="shared" si="6"/>
        <v>64</v>
      </c>
      <c r="AQ23" s="12">
        <f t="shared" si="6"/>
        <v>2232</v>
      </c>
      <c r="AR23" s="12">
        <f t="shared" si="6"/>
        <v>2478</v>
      </c>
      <c r="AS23" s="12">
        <f t="shared" si="6"/>
        <v>0</v>
      </c>
      <c r="AT23" s="12">
        <f t="shared" si="6"/>
        <v>0</v>
      </c>
      <c r="AU23" s="12">
        <v>0</v>
      </c>
      <c r="AV23" s="10">
        <f t="shared" si="10"/>
        <v>4774</v>
      </c>
    </row>
    <row r="24" spans="1:50" ht="12.75">
      <c r="A24" s="37"/>
      <c r="B24" s="37">
        <v>33</v>
      </c>
      <c r="C24" s="37">
        <v>6</v>
      </c>
      <c r="D24" s="37"/>
      <c r="E24" s="37"/>
      <c r="F24" s="37"/>
      <c r="G24" s="37">
        <v>1</v>
      </c>
      <c r="H24" s="37">
        <v>1</v>
      </c>
      <c r="I24" s="37">
        <v>3</v>
      </c>
      <c r="J24" s="37">
        <v>4</v>
      </c>
      <c r="K24" s="37">
        <v>6</v>
      </c>
      <c r="L24" s="37">
        <v>2</v>
      </c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11"/>
        <v>20</v>
      </c>
      <c r="AD24" s="37">
        <v>28</v>
      </c>
      <c r="AE24" s="39">
        <f t="shared" si="7"/>
        <v>0.7142857142857143</v>
      </c>
      <c r="AF24" s="39"/>
      <c r="AG24">
        <f t="shared" si="12"/>
        <v>0</v>
      </c>
      <c r="AH24">
        <f t="shared" si="13"/>
        <v>1</v>
      </c>
      <c r="AI24">
        <f t="shared" si="14"/>
        <v>14</v>
      </c>
      <c r="AJ24">
        <f t="shared" si="15"/>
        <v>5</v>
      </c>
      <c r="AK24">
        <f t="shared" si="16"/>
        <v>0</v>
      </c>
      <c r="AL24">
        <f t="shared" si="8"/>
        <v>0</v>
      </c>
      <c r="AM24">
        <f t="shared" si="9"/>
        <v>0</v>
      </c>
      <c r="AO24" s="12">
        <f t="shared" si="6"/>
        <v>0</v>
      </c>
      <c r="AP24" s="12">
        <f t="shared" si="6"/>
        <v>64</v>
      </c>
      <c r="AQ24" s="12">
        <f t="shared" si="6"/>
        <v>1736</v>
      </c>
      <c r="AR24" s="12">
        <f t="shared" si="6"/>
        <v>885</v>
      </c>
      <c r="AS24" s="12">
        <f t="shared" si="6"/>
        <v>0</v>
      </c>
      <c r="AT24" s="12">
        <f t="shared" si="6"/>
        <v>0</v>
      </c>
      <c r="AU24" s="12">
        <v>0</v>
      </c>
      <c r="AV24" s="10">
        <f t="shared" si="10"/>
        <v>2685</v>
      </c>
      <c r="AW24" s="3">
        <f>SUM(AV19:AV24)</f>
        <v>20311</v>
      </c>
      <c r="AX24" s="4">
        <f>AW24/AC25</f>
        <v>145.07857142857142</v>
      </c>
    </row>
    <row r="25" spans="1:4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6" t="s">
        <v>98</v>
      </c>
      <c r="AC25" s="37">
        <f>SUM(AC19:AC24)</f>
        <v>140</v>
      </c>
      <c r="AD25" s="37">
        <f>SUM(AD19:AD24)</f>
        <v>209</v>
      </c>
      <c r="AE25" s="38">
        <f>AC25/AD25</f>
        <v>0.6698564593301436</v>
      </c>
      <c r="AF25" s="39"/>
      <c r="AL25">
        <f t="shared" si="8"/>
        <v>0</v>
      </c>
      <c r="AM25">
        <f t="shared" si="9"/>
        <v>0</v>
      </c>
      <c r="AO25" s="12"/>
      <c r="AP25" s="12"/>
      <c r="AQ25" s="12"/>
      <c r="AR25" s="12"/>
      <c r="AS25" s="12"/>
      <c r="AT25" s="12"/>
      <c r="AU25" s="12"/>
      <c r="AV25" s="10"/>
    </row>
    <row r="26" spans="1:48" ht="12.75">
      <c r="A26" s="37" t="s">
        <v>10</v>
      </c>
      <c r="B26" s="37">
        <v>41</v>
      </c>
      <c r="C26" s="37">
        <v>1</v>
      </c>
      <c r="D26" s="37"/>
      <c r="E26" s="37"/>
      <c r="F26" s="37"/>
      <c r="G26" s="37">
        <v>2</v>
      </c>
      <c r="H26" s="37">
        <v>1</v>
      </c>
      <c r="I26" s="37"/>
      <c r="J26" s="37">
        <v>3</v>
      </c>
      <c r="K26" s="37"/>
      <c r="L26" s="37">
        <v>1</v>
      </c>
      <c r="M26" s="37">
        <v>1</v>
      </c>
      <c r="N26" s="37">
        <v>2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11"/>
        <v>12</v>
      </c>
      <c r="AD26" s="37">
        <v>18</v>
      </c>
      <c r="AE26" s="39">
        <f t="shared" si="7"/>
        <v>0.6666666666666666</v>
      </c>
      <c r="AF26" s="39"/>
      <c r="AG26">
        <f aca="true" t="shared" si="17" ref="AG26:AG31">D26+E26</f>
        <v>0</v>
      </c>
      <c r="AH26">
        <f aca="true" t="shared" si="18" ref="AH26:AH31">F26+G26</f>
        <v>2</v>
      </c>
      <c r="AI26">
        <f aca="true" t="shared" si="19" ref="AI26:AI31">SUM(H26:K26)</f>
        <v>4</v>
      </c>
      <c r="AJ26">
        <f aca="true" t="shared" si="20" ref="AJ26:AJ31">SUM(L26:O26)</f>
        <v>6</v>
      </c>
      <c r="AK26">
        <f aca="true" t="shared" si="21" ref="AK26:AK31">SUM(P26:S26)</f>
        <v>0</v>
      </c>
      <c r="AL26">
        <f t="shared" si="8"/>
        <v>0</v>
      </c>
      <c r="AM26">
        <f t="shared" si="9"/>
        <v>0</v>
      </c>
      <c r="AO26" s="12">
        <f t="shared" si="6"/>
        <v>0</v>
      </c>
      <c r="AP26" s="12">
        <f t="shared" si="6"/>
        <v>128</v>
      </c>
      <c r="AQ26" s="12">
        <f t="shared" si="6"/>
        <v>496</v>
      </c>
      <c r="AR26" s="12">
        <f t="shared" si="6"/>
        <v>1062</v>
      </c>
      <c r="AS26" s="12">
        <f t="shared" si="6"/>
        <v>0</v>
      </c>
      <c r="AT26" s="12">
        <f t="shared" si="6"/>
        <v>0</v>
      </c>
      <c r="AU26" s="12">
        <v>0</v>
      </c>
      <c r="AV26" s="10">
        <f t="shared" si="10"/>
        <v>1686</v>
      </c>
    </row>
    <row r="27" spans="1:48" ht="12.75">
      <c r="A27" s="37"/>
      <c r="B27" s="37">
        <v>41</v>
      </c>
      <c r="C27" s="37">
        <v>2</v>
      </c>
      <c r="D27" s="37"/>
      <c r="E27" s="37"/>
      <c r="F27" s="37">
        <v>1</v>
      </c>
      <c r="G27" s="37"/>
      <c r="H27" s="37"/>
      <c r="I27" s="37"/>
      <c r="J27" s="37"/>
      <c r="K27" s="37">
        <v>2</v>
      </c>
      <c r="L27" s="37"/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7"/>
      <c r="W27" s="37"/>
      <c r="X27" s="37"/>
      <c r="Y27" s="37"/>
      <c r="Z27" s="37"/>
      <c r="AA27" s="37"/>
      <c r="AB27" s="37"/>
      <c r="AC27" s="37">
        <f t="shared" si="11"/>
        <v>6</v>
      </c>
      <c r="AD27" s="37">
        <v>16</v>
      </c>
      <c r="AE27" s="39">
        <f t="shared" si="7"/>
        <v>0.375</v>
      </c>
      <c r="AF27" s="39"/>
      <c r="AG27">
        <f t="shared" si="17"/>
        <v>0</v>
      </c>
      <c r="AH27">
        <f t="shared" si="18"/>
        <v>1</v>
      </c>
      <c r="AI27">
        <f t="shared" si="19"/>
        <v>2</v>
      </c>
      <c r="AJ27">
        <f t="shared" si="20"/>
        <v>2</v>
      </c>
      <c r="AK27">
        <f t="shared" si="21"/>
        <v>0</v>
      </c>
      <c r="AL27">
        <f t="shared" si="8"/>
        <v>1</v>
      </c>
      <c r="AM27">
        <f t="shared" si="9"/>
        <v>0</v>
      </c>
      <c r="AO27" s="12">
        <f t="shared" si="6"/>
        <v>0</v>
      </c>
      <c r="AP27" s="12">
        <f t="shared" si="6"/>
        <v>64</v>
      </c>
      <c r="AQ27" s="12">
        <f t="shared" si="6"/>
        <v>248</v>
      </c>
      <c r="AR27" s="12">
        <f t="shared" si="6"/>
        <v>354</v>
      </c>
      <c r="AS27" s="12">
        <f t="shared" si="6"/>
        <v>0</v>
      </c>
      <c r="AT27" s="12">
        <f t="shared" si="6"/>
        <v>290</v>
      </c>
      <c r="AU27" s="12">
        <v>0</v>
      </c>
      <c r="AV27" s="10">
        <f t="shared" si="10"/>
        <v>956</v>
      </c>
    </row>
    <row r="28" spans="1:48" ht="12.75">
      <c r="A28" s="37"/>
      <c r="B28" s="37">
        <v>41</v>
      </c>
      <c r="C28" s="37">
        <v>3</v>
      </c>
      <c r="D28" s="37"/>
      <c r="E28" s="37"/>
      <c r="F28" s="37"/>
      <c r="G28" s="37">
        <v>1</v>
      </c>
      <c r="H28" s="37">
        <v>4</v>
      </c>
      <c r="I28" s="37">
        <v>2</v>
      </c>
      <c r="J28" s="37">
        <v>4</v>
      </c>
      <c r="K28" s="37">
        <v>2</v>
      </c>
      <c r="L28" s="37">
        <v>5</v>
      </c>
      <c r="M28" s="37">
        <v>3</v>
      </c>
      <c r="N28" s="37"/>
      <c r="O28" s="37"/>
      <c r="P28" s="37">
        <v>1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11"/>
        <v>22</v>
      </c>
      <c r="AD28" s="37">
        <v>38</v>
      </c>
      <c r="AE28" s="39">
        <f t="shared" si="7"/>
        <v>0.5789473684210527</v>
      </c>
      <c r="AF28" s="39"/>
      <c r="AG28">
        <f t="shared" si="17"/>
        <v>0</v>
      </c>
      <c r="AH28">
        <f t="shared" si="18"/>
        <v>1</v>
      </c>
      <c r="AI28">
        <f t="shared" si="19"/>
        <v>12</v>
      </c>
      <c r="AJ28">
        <f t="shared" si="20"/>
        <v>8</v>
      </c>
      <c r="AK28">
        <f t="shared" si="21"/>
        <v>1</v>
      </c>
      <c r="AL28">
        <f t="shared" si="8"/>
        <v>0</v>
      </c>
      <c r="AM28">
        <f t="shared" si="9"/>
        <v>0</v>
      </c>
      <c r="AO28" s="12">
        <f t="shared" si="6"/>
        <v>0</v>
      </c>
      <c r="AP28" s="12">
        <f t="shared" si="6"/>
        <v>64</v>
      </c>
      <c r="AQ28" s="12">
        <f t="shared" si="6"/>
        <v>1488</v>
      </c>
      <c r="AR28" s="12">
        <f t="shared" si="6"/>
        <v>1416</v>
      </c>
      <c r="AS28" s="12">
        <f t="shared" si="6"/>
        <v>232</v>
      </c>
      <c r="AT28" s="12">
        <f t="shared" si="6"/>
        <v>0</v>
      </c>
      <c r="AU28" s="12">
        <v>0</v>
      </c>
      <c r="AV28" s="10">
        <f t="shared" si="10"/>
        <v>3200</v>
      </c>
    </row>
    <row r="29" spans="1:48" ht="12.75">
      <c r="A29" s="37"/>
      <c r="B29" s="37">
        <v>41</v>
      </c>
      <c r="C29" s="37">
        <v>4</v>
      </c>
      <c r="D29" s="37"/>
      <c r="E29" s="37"/>
      <c r="F29" s="37">
        <v>1</v>
      </c>
      <c r="G29" s="37">
        <v>2</v>
      </c>
      <c r="H29" s="37">
        <v>5</v>
      </c>
      <c r="I29" s="37">
        <v>4</v>
      </c>
      <c r="J29" s="37">
        <v>5</v>
      </c>
      <c r="K29" s="37">
        <v>4</v>
      </c>
      <c r="L29" s="37">
        <v>2</v>
      </c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1"/>
        <v>24</v>
      </c>
      <c r="AD29" s="37">
        <v>41</v>
      </c>
      <c r="AE29" s="39">
        <f t="shared" si="7"/>
        <v>0.5853658536585366</v>
      </c>
      <c r="AF29" s="39"/>
      <c r="AG29">
        <f t="shared" si="17"/>
        <v>0</v>
      </c>
      <c r="AH29">
        <f t="shared" si="18"/>
        <v>3</v>
      </c>
      <c r="AI29">
        <f t="shared" si="19"/>
        <v>18</v>
      </c>
      <c r="AJ29">
        <f t="shared" si="20"/>
        <v>3</v>
      </c>
      <c r="AK29">
        <f t="shared" si="21"/>
        <v>0</v>
      </c>
      <c r="AL29">
        <f t="shared" si="8"/>
        <v>0</v>
      </c>
      <c r="AM29">
        <f t="shared" si="9"/>
        <v>0</v>
      </c>
      <c r="AO29" s="12">
        <f t="shared" si="6"/>
        <v>0</v>
      </c>
      <c r="AP29" s="12">
        <f t="shared" si="6"/>
        <v>192</v>
      </c>
      <c r="AQ29" s="12">
        <f t="shared" si="6"/>
        <v>2232</v>
      </c>
      <c r="AR29" s="12">
        <f t="shared" si="6"/>
        <v>531</v>
      </c>
      <c r="AS29" s="12">
        <f t="shared" si="6"/>
        <v>0</v>
      </c>
      <c r="AT29" s="12">
        <f t="shared" si="6"/>
        <v>0</v>
      </c>
      <c r="AU29" s="12">
        <v>0</v>
      </c>
      <c r="AV29" s="10">
        <f t="shared" si="10"/>
        <v>2955</v>
      </c>
    </row>
    <row r="30" spans="1:48" ht="12.75">
      <c r="A30" s="37"/>
      <c r="B30" s="37">
        <v>41</v>
      </c>
      <c r="C30" s="37">
        <v>5</v>
      </c>
      <c r="D30" s="37">
        <v>1</v>
      </c>
      <c r="E30" s="37"/>
      <c r="F30" s="37"/>
      <c r="G30" s="37">
        <v>3</v>
      </c>
      <c r="H30" s="37">
        <v>4</v>
      </c>
      <c r="I30" s="37">
        <v>2</v>
      </c>
      <c r="J30" s="37">
        <v>1</v>
      </c>
      <c r="K30" s="37">
        <v>6</v>
      </c>
      <c r="L30" s="37">
        <v>1</v>
      </c>
      <c r="M30" s="37"/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1"/>
        <v>19</v>
      </c>
      <c r="AD30" s="37">
        <v>30</v>
      </c>
      <c r="AE30" s="39">
        <f t="shared" si="7"/>
        <v>0.6333333333333333</v>
      </c>
      <c r="AF30" s="39"/>
      <c r="AG30">
        <f t="shared" si="17"/>
        <v>1</v>
      </c>
      <c r="AH30">
        <f t="shared" si="18"/>
        <v>3</v>
      </c>
      <c r="AI30">
        <f t="shared" si="19"/>
        <v>13</v>
      </c>
      <c r="AJ30">
        <f t="shared" si="20"/>
        <v>2</v>
      </c>
      <c r="AK30">
        <f t="shared" si="21"/>
        <v>0</v>
      </c>
      <c r="AL30">
        <f t="shared" si="8"/>
        <v>0</v>
      </c>
      <c r="AM30">
        <f t="shared" si="9"/>
        <v>0</v>
      </c>
      <c r="AO30" s="12">
        <f t="shared" si="6"/>
        <v>37</v>
      </c>
      <c r="AP30" s="12">
        <f t="shared" si="6"/>
        <v>192</v>
      </c>
      <c r="AQ30" s="12">
        <f t="shared" si="6"/>
        <v>1612</v>
      </c>
      <c r="AR30" s="12">
        <f t="shared" si="6"/>
        <v>354</v>
      </c>
      <c r="AS30" s="12">
        <f t="shared" si="6"/>
        <v>0</v>
      </c>
      <c r="AT30" s="12">
        <f t="shared" si="6"/>
        <v>0</v>
      </c>
      <c r="AU30" s="12">
        <v>0</v>
      </c>
      <c r="AV30" s="10">
        <f t="shared" si="10"/>
        <v>2195</v>
      </c>
    </row>
    <row r="31" spans="1:50" ht="12.75">
      <c r="A31" s="37"/>
      <c r="B31" s="37">
        <v>41</v>
      </c>
      <c r="C31" s="37">
        <v>6</v>
      </c>
      <c r="D31" s="37"/>
      <c r="E31" s="37"/>
      <c r="F31" s="37">
        <v>1</v>
      </c>
      <c r="G31" s="37">
        <v>1</v>
      </c>
      <c r="H31" s="37">
        <v>1</v>
      </c>
      <c r="I31" s="37">
        <v>1</v>
      </c>
      <c r="J31" s="37">
        <v>2</v>
      </c>
      <c r="K31" s="37">
        <v>1</v>
      </c>
      <c r="L31" s="37">
        <v>1</v>
      </c>
      <c r="M31" s="37"/>
      <c r="N31" s="37"/>
      <c r="O31" s="37">
        <v>1</v>
      </c>
      <c r="P31" s="37"/>
      <c r="Q31" s="37">
        <v>3</v>
      </c>
      <c r="R31" s="37"/>
      <c r="S31" s="37"/>
      <c r="T31" s="37"/>
      <c r="U31" s="37"/>
      <c r="V31" s="37"/>
      <c r="W31" s="37">
        <v>1</v>
      </c>
      <c r="X31" s="37"/>
      <c r="Y31" s="37"/>
      <c r="Z31" s="37"/>
      <c r="AA31" s="37"/>
      <c r="AB31" s="37"/>
      <c r="AC31" s="37">
        <f t="shared" si="11"/>
        <v>13</v>
      </c>
      <c r="AD31" s="37">
        <v>22</v>
      </c>
      <c r="AE31" s="39">
        <f t="shared" si="7"/>
        <v>0.5909090909090909</v>
      </c>
      <c r="AF31" s="39"/>
      <c r="AG31">
        <f t="shared" si="17"/>
        <v>0</v>
      </c>
      <c r="AH31">
        <f t="shared" si="18"/>
        <v>2</v>
      </c>
      <c r="AI31">
        <f t="shared" si="19"/>
        <v>5</v>
      </c>
      <c r="AJ31">
        <f t="shared" si="20"/>
        <v>2</v>
      </c>
      <c r="AK31">
        <f t="shared" si="21"/>
        <v>3</v>
      </c>
      <c r="AL31">
        <f t="shared" si="8"/>
        <v>1</v>
      </c>
      <c r="AM31">
        <f t="shared" si="9"/>
        <v>0</v>
      </c>
      <c r="AO31" s="12">
        <f t="shared" si="6"/>
        <v>0</v>
      </c>
      <c r="AP31" s="12">
        <f t="shared" si="6"/>
        <v>128</v>
      </c>
      <c r="AQ31" s="12">
        <f t="shared" si="6"/>
        <v>620</v>
      </c>
      <c r="AR31" s="12">
        <f t="shared" si="6"/>
        <v>354</v>
      </c>
      <c r="AS31" s="12">
        <f t="shared" si="6"/>
        <v>696</v>
      </c>
      <c r="AT31" s="12">
        <f t="shared" si="6"/>
        <v>290</v>
      </c>
      <c r="AU31" s="12">
        <v>0</v>
      </c>
      <c r="AV31" s="10">
        <f t="shared" si="10"/>
        <v>2088</v>
      </c>
      <c r="AW31" s="3">
        <f>SUM(AV26:AV31)</f>
        <v>13080</v>
      </c>
      <c r="AX31" s="4">
        <f>AW31/AC32</f>
        <v>136.25</v>
      </c>
    </row>
    <row r="32" spans="1:4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6" t="s">
        <v>98</v>
      </c>
      <c r="AC32" s="37">
        <f>SUM(AC26:AC31)</f>
        <v>96</v>
      </c>
      <c r="AD32" s="37">
        <f>SUM(AD26:AD31)</f>
        <v>165</v>
      </c>
      <c r="AE32" s="38">
        <f>AC32/AD32</f>
        <v>0.5818181818181818</v>
      </c>
      <c r="AF32" s="39"/>
      <c r="AL32">
        <f t="shared" si="8"/>
        <v>0</v>
      </c>
      <c r="AM32">
        <f t="shared" si="9"/>
        <v>0</v>
      </c>
      <c r="AO32" s="12"/>
      <c r="AP32" s="12"/>
      <c r="AQ32" s="12"/>
      <c r="AR32" s="12"/>
      <c r="AS32" s="12"/>
      <c r="AT32" s="12"/>
      <c r="AU32" s="12"/>
      <c r="AV32" s="10"/>
    </row>
    <row r="33" spans="1:48" ht="12.75">
      <c r="A33" s="37" t="s">
        <v>12</v>
      </c>
      <c r="B33" s="37">
        <v>97</v>
      </c>
      <c r="C33" s="37">
        <v>1</v>
      </c>
      <c r="D33" s="37"/>
      <c r="E33" s="37"/>
      <c r="F33" s="37"/>
      <c r="G33" s="37"/>
      <c r="H33" s="37">
        <v>2</v>
      </c>
      <c r="I33" s="37">
        <v>4</v>
      </c>
      <c r="J33" s="37">
        <v>2</v>
      </c>
      <c r="K33" s="37">
        <v>2</v>
      </c>
      <c r="L33" s="37">
        <v>2</v>
      </c>
      <c r="M33" s="37">
        <v>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1"/>
        <v>14</v>
      </c>
      <c r="AD33" s="37">
        <v>21</v>
      </c>
      <c r="AE33" s="39">
        <f t="shared" si="7"/>
        <v>0.6666666666666666</v>
      </c>
      <c r="AF33" s="39"/>
      <c r="AG33">
        <f aca="true" t="shared" si="22" ref="AG33:AG38">D33+E33</f>
        <v>0</v>
      </c>
      <c r="AH33">
        <f aca="true" t="shared" si="23" ref="AH33:AH38">F33+G33</f>
        <v>0</v>
      </c>
      <c r="AI33">
        <f aca="true" t="shared" si="24" ref="AI33:AI38">SUM(H33:K33)</f>
        <v>10</v>
      </c>
      <c r="AJ33">
        <f aca="true" t="shared" si="25" ref="AJ33:AJ38">SUM(L33:O33)</f>
        <v>4</v>
      </c>
      <c r="AK33">
        <f aca="true" t="shared" si="26" ref="AK33:AK38">SUM(P33:S33)</f>
        <v>0</v>
      </c>
      <c r="AL33">
        <f t="shared" si="8"/>
        <v>0</v>
      </c>
      <c r="AM33">
        <f t="shared" si="9"/>
        <v>0</v>
      </c>
      <c r="AO33" s="12">
        <f t="shared" si="6"/>
        <v>0</v>
      </c>
      <c r="AP33" s="12">
        <f t="shared" si="6"/>
        <v>0</v>
      </c>
      <c r="AQ33" s="12">
        <f t="shared" si="6"/>
        <v>1240</v>
      </c>
      <c r="AR33" s="12">
        <f t="shared" si="6"/>
        <v>708</v>
      </c>
      <c r="AS33" s="12">
        <f t="shared" si="6"/>
        <v>0</v>
      </c>
      <c r="AT33" s="12">
        <f t="shared" si="6"/>
        <v>0</v>
      </c>
      <c r="AU33" s="12">
        <v>0</v>
      </c>
      <c r="AV33" s="10">
        <f t="shared" si="10"/>
        <v>1948</v>
      </c>
    </row>
    <row r="34" spans="1:48" ht="12.75">
      <c r="A34" s="37"/>
      <c r="B34" s="37">
        <v>97</v>
      </c>
      <c r="C34" s="37">
        <v>2</v>
      </c>
      <c r="D34" s="37"/>
      <c r="E34" s="37"/>
      <c r="F34" s="37"/>
      <c r="G34" s="37">
        <v>1</v>
      </c>
      <c r="H34" s="37">
        <v>7</v>
      </c>
      <c r="I34" s="37">
        <v>5</v>
      </c>
      <c r="J34" s="37">
        <v>10</v>
      </c>
      <c r="K34" s="37">
        <v>14</v>
      </c>
      <c r="L34" s="37">
        <v>5</v>
      </c>
      <c r="M34" s="37">
        <v>3</v>
      </c>
      <c r="N34" s="37">
        <v>2</v>
      </c>
      <c r="O34" s="37">
        <v>1</v>
      </c>
      <c r="P34" s="37"/>
      <c r="Q34" s="37"/>
      <c r="R34" s="37">
        <v>1</v>
      </c>
      <c r="S34" s="37"/>
      <c r="T34" s="37">
        <v>1</v>
      </c>
      <c r="U34" s="37"/>
      <c r="V34" s="37"/>
      <c r="W34" s="37"/>
      <c r="X34" s="37"/>
      <c r="Y34" s="37"/>
      <c r="Z34" s="37"/>
      <c r="AA34" s="37"/>
      <c r="AB34" s="37"/>
      <c r="AC34" s="37">
        <f t="shared" si="11"/>
        <v>50</v>
      </c>
      <c r="AD34" s="37">
        <v>73</v>
      </c>
      <c r="AE34" s="39">
        <f t="shared" si="7"/>
        <v>0.684931506849315</v>
      </c>
      <c r="AF34" s="39"/>
      <c r="AG34">
        <f t="shared" si="22"/>
        <v>0</v>
      </c>
      <c r="AH34">
        <f t="shared" si="23"/>
        <v>1</v>
      </c>
      <c r="AI34">
        <f t="shared" si="24"/>
        <v>36</v>
      </c>
      <c r="AJ34">
        <f t="shared" si="25"/>
        <v>11</v>
      </c>
      <c r="AK34">
        <f t="shared" si="26"/>
        <v>1</v>
      </c>
      <c r="AL34">
        <f t="shared" si="8"/>
        <v>1</v>
      </c>
      <c r="AM34">
        <f t="shared" si="9"/>
        <v>0</v>
      </c>
      <c r="AO34" s="12">
        <f t="shared" si="6"/>
        <v>0</v>
      </c>
      <c r="AP34" s="12">
        <f t="shared" si="6"/>
        <v>64</v>
      </c>
      <c r="AQ34" s="12">
        <f t="shared" si="6"/>
        <v>4464</v>
      </c>
      <c r="AR34" s="12">
        <f t="shared" si="6"/>
        <v>1947</v>
      </c>
      <c r="AS34" s="12">
        <f t="shared" si="6"/>
        <v>232</v>
      </c>
      <c r="AT34" s="12">
        <f t="shared" si="6"/>
        <v>290</v>
      </c>
      <c r="AU34" s="12">
        <v>0</v>
      </c>
      <c r="AV34" s="10">
        <f t="shared" si="10"/>
        <v>6997</v>
      </c>
    </row>
    <row r="35" spans="1:48" ht="12.75">
      <c r="A35" s="37"/>
      <c r="B35" s="37">
        <v>97</v>
      </c>
      <c r="C35" s="37">
        <v>3</v>
      </c>
      <c r="D35" s="37"/>
      <c r="E35" s="37"/>
      <c r="F35" s="37"/>
      <c r="G35" s="37">
        <v>5</v>
      </c>
      <c r="H35" s="37">
        <v>3</v>
      </c>
      <c r="I35" s="37">
        <v>12</v>
      </c>
      <c r="J35" s="37">
        <v>10</v>
      </c>
      <c r="K35" s="37">
        <v>8</v>
      </c>
      <c r="L35" s="37">
        <v>4</v>
      </c>
      <c r="M35" s="37">
        <v>5</v>
      </c>
      <c r="N35" s="37">
        <v>1</v>
      </c>
      <c r="O35" s="37">
        <v>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11"/>
        <v>50</v>
      </c>
      <c r="AD35" s="37">
        <v>67</v>
      </c>
      <c r="AE35" s="39">
        <f t="shared" si="7"/>
        <v>0.746268656716418</v>
      </c>
      <c r="AF35" s="39"/>
      <c r="AG35">
        <f t="shared" si="22"/>
        <v>0</v>
      </c>
      <c r="AH35">
        <f t="shared" si="23"/>
        <v>5</v>
      </c>
      <c r="AI35">
        <f t="shared" si="24"/>
        <v>33</v>
      </c>
      <c r="AJ35">
        <f t="shared" si="25"/>
        <v>12</v>
      </c>
      <c r="AK35">
        <f t="shared" si="26"/>
        <v>0</v>
      </c>
      <c r="AL35">
        <f t="shared" si="8"/>
        <v>0</v>
      </c>
      <c r="AM35">
        <f t="shared" si="9"/>
        <v>0</v>
      </c>
      <c r="AO35" s="12">
        <f t="shared" si="6"/>
        <v>0</v>
      </c>
      <c r="AP35" s="12">
        <f t="shared" si="6"/>
        <v>320</v>
      </c>
      <c r="AQ35" s="12">
        <f t="shared" si="6"/>
        <v>4092</v>
      </c>
      <c r="AR35" s="12">
        <f t="shared" si="6"/>
        <v>2124</v>
      </c>
      <c r="AS35" s="12">
        <f t="shared" si="6"/>
        <v>0</v>
      </c>
      <c r="AT35" s="12">
        <f t="shared" si="6"/>
        <v>0</v>
      </c>
      <c r="AU35" s="12">
        <v>0</v>
      </c>
      <c r="AV35" s="10">
        <f t="shared" si="10"/>
        <v>6536</v>
      </c>
    </row>
    <row r="36" spans="1:48" ht="12.75">
      <c r="A36" s="37"/>
      <c r="B36" s="37">
        <v>97</v>
      </c>
      <c r="C36" s="37">
        <v>4</v>
      </c>
      <c r="D36" s="37"/>
      <c r="E36" s="37"/>
      <c r="F36" s="37"/>
      <c r="G36" s="37">
        <v>2</v>
      </c>
      <c r="H36" s="37">
        <v>3</v>
      </c>
      <c r="I36" s="37">
        <v>6</v>
      </c>
      <c r="J36" s="37">
        <v>7</v>
      </c>
      <c r="K36" s="37">
        <v>2</v>
      </c>
      <c r="L36" s="37">
        <v>4</v>
      </c>
      <c r="M36" s="37">
        <v>2</v>
      </c>
      <c r="N36" s="37">
        <v>2</v>
      </c>
      <c r="O36" s="37">
        <v>2</v>
      </c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1"/>
        <v>31</v>
      </c>
      <c r="AD36" s="37">
        <v>39</v>
      </c>
      <c r="AE36" s="39">
        <f t="shared" si="7"/>
        <v>0.7948717948717948</v>
      </c>
      <c r="AF36" s="39"/>
      <c r="AG36">
        <f t="shared" si="22"/>
        <v>0</v>
      </c>
      <c r="AH36">
        <f t="shared" si="23"/>
        <v>2</v>
      </c>
      <c r="AI36">
        <f t="shared" si="24"/>
        <v>18</v>
      </c>
      <c r="AJ36">
        <f t="shared" si="25"/>
        <v>10</v>
      </c>
      <c r="AK36">
        <f t="shared" si="26"/>
        <v>1</v>
      </c>
      <c r="AL36">
        <f t="shared" si="8"/>
        <v>0</v>
      </c>
      <c r="AM36">
        <f t="shared" si="9"/>
        <v>0</v>
      </c>
      <c r="AO36" s="12">
        <f t="shared" si="6"/>
        <v>0</v>
      </c>
      <c r="AP36" s="12">
        <f t="shared" si="6"/>
        <v>128</v>
      </c>
      <c r="AQ36" s="12">
        <f t="shared" si="6"/>
        <v>2232</v>
      </c>
      <c r="AR36" s="12">
        <f t="shared" si="6"/>
        <v>1770</v>
      </c>
      <c r="AS36" s="12">
        <f t="shared" si="6"/>
        <v>232</v>
      </c>
      <c r="AT36" s="12">
        <f t="shared" si="6"/>
        <v>0</v>
      </c>
      <c r="AU36" s="12">
        <v>0</v>
      </c>
      <c r="AV36" s="10">
        <f t="shared" si="10"/>
        <v>4362</v>
      </c>
    </row>
    <row r="37" spans="1:48" ht="12.75">
      <c r="A37" s="37"/>
      <c r="B37" s="37">
        <v>97</v>
      </c>
      <c r="C37" s="37">
        <v>5</v>
      </c>
      <c r="D37" s="37"/>
      <c r="E37" s="37"/>
      <c r="F37" s="37"/>
      <c r="G37" s="37">
        <v>1</v>
      </c>
      <c r="H37" s="37">
        <v>1</v>
      </c>
      <c r="I37" s="37">
        <v>1</v>
      </c>
      <c r="J37" s="37">
        <v>9</v>
      </c>
      <c r="K37" s="37">
        <v>4</v>
      </c>
      <c r="L37" s="37">
        <v>7</v>
      </c>
      <c r="M37" s="37"/>
      <c r="N37" s="37">
        <v>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1"/>
        <v>26</v>
      </c>
      <c r="AD37" s="37">
        <v>38</v>
      </c>
      <c r="AE37" s="39">
        <f t="shared" si="7"/>
        <v>0.6842105263157895</v>
      </c>
      <c r="AF37" s="39"/>
      <c r="AG37">
        <f t="shared" si="22"/>
        <v>0</v>
      </c>
      <c r="AH37">
        <f t="shared" si="23"/>
        <v>1</v>
      </c>
      <c r="AI37">
        <f t="shared" si="24"/>
        <v>15</v>
      </c>
      <c r="AJ37">
        <f t="shared" si="25"/>
        <v>10</v>
      </c>
      <c r="AK37">
        <f t="shared" si="26"/>
        <v>0</v>
      </c>
      <c r="AL37">
        <f t="shared" si="8"/>
        <v>0</v>
      </c>
      <c r="AM37">
        <f t="shared" si="9"/>
        <v>0</v>
      </c>
      <c r="AO37" s="12">
        <f t="shared" si="6"/>
        <v>0</v>
      </c>
      <c r="AP37" s="12">
        <f t="shared" si="6"/>
        <v>64</v>
      </c>
      <c r="AQ37" s="12">
        <f t="shared" si="6"/>
        <v>1860</v>
      </c>
      <c r="AR37" s="12">
        <f t="shared" si="6"/>
        <v>1770</v>
      </c>
      <c r="AS37" s="12">
        <f t="shared" si="6"/>
        <v>0</v>
      </c>
      <c r="AT37" s="12">
        <f t="shared" si="6"/>
        <v>0</v>
      </c>
      <c r="AU37" s="12">
        <v>0</v>
      </c>
      <c r="AV37" s="10">
        <f t="shared" si="10"/>
        <v>3694</v>
      </c>
    </row>
    <row r="38" spans="1:50" ht="12.75">
      <c r="A38" s="37"/>
      <c r="B38" s="37">
        <v>97</v>
      </c>
      <c r="C38" s="37">
        <v>6</v>
      </c>
      <c r="D38" s="37"/>
      <c r="E38" s="37"/>
      <c r="F38" s="37"/>
      <c r="G38" s="37">
        <v>2</v>
      </c>
      <c r="H38" s="37">
        <v>3</v>
      </c>
      <c r="I38" s="37">
        <v>11</v>
      </c>
      <c r="J38" s="37">
        <v>6</v>
      </c>
      <c r="K38" s="37">
        <v>5</v>
      </c>
      <c r="L38" s="37">
        <v>2</v>
      </c>
      <c r="M38" s="37">
        <v>3</v>
      </c>
      <c r="N38" s="37">
        <v>1</v>
      </c>
      <c r="O38" s="37">
        <v>1</v>
      </c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11"/>
        <v>35</v>
      </c>
      <c r="AD38" s="37">
        <v>53</v>
      </c>
      <c r="AE38" s="39">
        <f t="shared" si="7"/>
        <v>0.660377358490566</v>
      </c>
      <c r="AF38" s="39"/>
      <c r="AG38">
        <f t="shared" si="22"/>
        <v>0</v>
      </c>
      <c r="AH38">
        <f t="shared" si="23"/>
        <v>2</v>
      </c>
      <c r="AI38">
        <f t="shared" si="24"/>
        <v>25</v>
      </c>
      <c r="AJ38">
        <f t="shared" si="25"/>
        <v>7</v>
      </c>
      <c r="AK38">
        <f t="shared" si="26"/>
        <v>1</v>
      </c>
      <c r="AL38">
        <f t="shared" si="8"/>
        <v>0</v>
      </c>
      <c r="AM38">
        <f>SUM(W38:AA38)</f>
        <v>0</v>
      </c>
      <c r="AO38" s="12">
        <f t="shared" si="6"/>
        <v>0</v>
      </c>
      <c r="AP38" s="12">
        <f t="shared" si="6"/>
        <v>128</v>
      </c>
      <c r="AQ38" s="12">
        <f t="shared" si="6"/>
        <v>3100</v>
      </c>
      <c r="AR38" s="12">
        <f t="shared" si="6"/>
        <v>1239</v>
      </c>
      <c r="AS38" s="12">
        <f t="shared" si="6"/>
        <v>232</v>
      </c>
      <c r="AT38" s="12">
        <f t="shared" si="6"/>
        <v>0</v>
      </c>
      <c r="AU38" s="12">
        <v>0</v>
      </c>
      <c r="AV38" s="10">
        <f t="shared" si="10"/>
        <v>4699</v>
      </c>
      <c r="AW38" s="3">
        <f>SUM(AV33:AV38)</f>
        <v>28236</v>
      </c>
      <c r="AX38" s="4">
        <f>AW38/AC39</f>
        <v>137.06796116504853</v>
      </c>
    </row>
    <row r="39" spans="28:32" ht="12.75">
      <c r="AB39" s="46" t="s">
        <v>98</v>
      </c>
      <c r="AC39" s="37">
        <f>SUM(AC33:AC38)</f>
        <v>206</v>
      </c>
      <c r="AD39" s="37">
        <f>SUM(AD33:AD38)</f>
        <v>291</v>
      </c>
      <c r="AE39" s="38">
        <f>AC39/AD39</f>
        <v>0.7079037800687286</v>
      </c>
      <c r="AF39" s="39"/>
    </row>
    <row r="40" spans="3:39" ht="12.75">
      <c r="C40" t="s">
        <v>9</v>
      </c>
      <c r="D40">
        <f aca="true" t="shared" si="27" ref="D40:W40">SUM(D12:D39)</f>
        <v>2</v>
      </c>
      <c r="E40">
        <f t="shared" si="27"/>
        <v>1</v>
      </c>
      <c r="F40">
        <f t="shared" si="27"/>
        <v>6</v>
      </c>
      <c r="G40">
        <f t="shared" si="27"/>
        <v>24</v>
      </c>
      <c r="H40">
        <f t="shared" si="27"/>
        <v>62</v>
      </c>
      <c r="I40">
        <f t="shared" si="27"/>
        <v>79</v>
      </c>
      <c r="J40">
        <f t="shared" si="27"/>
        <v>92</v>
      </c>
      <c r="K40">
        <f t="shared" si="27"/>
        <v>97</v>
      </c>
      <c r="L40">
        <f t="shared" si="27"/>
        <v>65</v>
      </c>
      <c r="M40">
        <f t="shared" si="27"/>
        <v>47</v>
      </c>
      <c r="N40">
        <f t="shared" si="27"/>
        <v>30</v>
      </c>
      <c r="O40">
        <f t="shared" si="27"/>
        <v>20</v>
      </c>
      <c r="P40">
        <f t="shared" si="27"/>
        <v>4</v>
      </c>
      <c r="Q40">
        <f t="shared" si="27"/>
        <v>9</v>
      </c>
      <c r="R40">
        <f t="shared" si="27"/>
        <v>2</v>
      </c>
      <c r="S40">
        <f t="shared" si="27"/>
        <v>2</v>
      </c>
      <c r="T40">
        <f t="shared" si="27"/>
        <v>1</v>
      </c>
      <c r="U40">
        <f t="shared" si="27"/>
        <v>1</v>
      </c>
      <c r="V40">
        <f t="shared" si="27"/>
        <v>0</v>
      </c>
      <c r="W40">
        <f t="shared" si="27"/>
        <v>2</v>
      </c>
      <c r="X40">
        <f>SUM(X12:X39)</f>
        <v>1</v>
      </c>
      <c r="Y40">
        <f>SUM(Y12:Y39)</f>
        <v>1</v>
      </c>
      <c r="Z40">
        <f>SUM(Z12:Z39)</f>
        <v>0</v>
      </c>
      <c r="AA40">
        <f>SUM(AA12:AA39)</f>
        <v>1</v>
      </c>
      <c r="AB40">
        <f>SUM(AB12:AB39)</f>
        <v>1</v>
      </c>
      <c r="AC40" s="22">
        <f>SUM(AC18+AC25+AC32+AC39)</f>
        <v>550</v>
      </c>
      <c r="AD40" s="22">
        <f>SUM(AD18+AD25+AD32+AD39)</f>
        <v>818</v>
      </c>
      <c r="AE40" s="40">
        <f>AC40/AD40</f>
        <v>0.6723716381418093</v>
      </c>
      <c r="AF40" s="40"/>
      <c r="AG40">
        <f aca="true" t="shared" si="28" ref="AG40:AM40">SUM(AG12:AG39)</f>
        <v>3</v>
      </c>
      <c r="AH40">
        <f t="shared" si="28"/>
        <v>30</v>
      </c>
      <c r="AI40">
        <f t="shared" si="28"/>
        <v>330</v>
      </c>
      <c r="AJ40">
        <f t="shared" si="28"/>
        <v>162</v>
      </c>
      <c r="AK40">
        <f t="shared" si="28"/>
        <v>17</v>
      </c>
      <c r="AL40">
        <f t="shared" si="28"/>
        <v>4</v>
      </c>
      <c r="AM40">
        <f t="shared" si="28"/>
        <v>4</v>
      </c>
    </row>
    <row r="41" spans="37:48" ht="12.75">
      <c r="AK41" t="s">
        <v>15</v>
      </c>
      <c r="AM41">
        <f>SUM(AG40:AM40)</f>
        <v>550</v>
      </c>
      <c r="AR41" t="s">
        <v>37</v>
      </c>
      <c r="AV41" s="3">
        <f>SUM(AV12:AV40)</f>
        <v>78411</v>
      </c>
    </row>
    <row r="42" ht="12.75">
      <c r="AV42" s="3"/>
    </row>
    <row r="43" spans="1:48" ht="12.75">
      <c r="A43" t="s">
        <v>32</v>
      </c>
      <c r="D43">
        <f aca="true" t="shared" si="29" ref="D43:AB43">D40*D10</f>
        <v>2</v>
      </c>
      <c r="E43">
        <f t="shared" si="29"/>
        <v>2</v>
      </c>
      <c r="F43">
        <f t="shared" si="29"/>
        <v>18</v>
      </c>
      <c r="G43">
        <f t="shared" si="29"/>
        <v>96</v>
      </c>
      <c r="H43">
        <f t="shared" si="29"/>
        <v>310</v>
      </c>
      <c r="I43">
        <f t="shared" si="29"/>
        <v>474</v>
      </c>
      <c r="J43">
        <f t="shared" si="29"/>
        <v>644</v>
      </c>
      <c r="K43">
        <f t="shared" si="29"/>
        <v>776</v>
      </c>
      <c r="L43">
        <f t="shared" si="29"/>
        <v>585</v>
      </c>
      <c r="M43">
        <f t="shared" si="29"/>
        <v>470</v>
      </c>
      <c r="N43">
        <f t="shared" si="29"/>
        <v>330</v>
      </c>
      <c r="O43">
        <f t="shared" si="29"/>
        <v>240</v>
      </c>
      <c r="P43">
        <f t="shared" si="29"/>
        <v>52</v>
      </c>
      <c r="Q43">
        <f t="shared" si="29"/>
        <v>126</v>
      </c>
      <c r="R43">
        <f t="shared" si="29"/>
        <v>30</v>
      </c>
      <c r="S43">
        <f t="shared" si="29"/>
        <v>32</v>
      </c>
      <c r="T43">
        <f t="shared" si="29"/>
        <v>17</v>
      </c>
      <c r="U43">
        <f t="shared" si="29"/>
        <v>18</v>
      </c>
      <c r="V43">
        <f t="shared" si="29"/>
        <v>0</v>
      </c>
      <c r="W43">
        <f t="shared" si="29"/>
        <v>40</v>
      </c>
      <c r="X43">
        <f t="shared" si="29"/>
        <v>23</v>
      </c>
      <c r="Y43">
        <f t="shared" si="29"/>
        <v>24</v>
      </c>
      <c r="Z43">
        <f t="shared" si="29"/>
        <v>0</v>
      </c>
      <c r="AA43">
        <f t="shared" si="29"/>
        <v>30</v>
      </c>
      <c r="AB43">
        <f t="shared" si="29"/>
        <v>33</v>
      </c>
      <c r="AQ43" t="s">
        <v>38</v>
      </c>
      <c r="AV43" s="4">
        <f>AV41/AC40</f>
        <v>142.56545454545454</v>
      </c>
    </row>
    <row r="44" spans="19:48" ht="12.75">
      <c r="S44" t="s">
        <v>85</v>
      </c>
      <c r="AC44">
        <f>SUM(D43:AA43)</f>
        <v>4339</v>
      </c>
      <c r="AQ44" t="s">
        <v>39</v>
      </c>
      <c r="AV44" s="4">
        <f>AV41/AC44</f>
        <v>18.071214565568102</v>
      </c>
    </row>
    <row r="46" spans="19:48" ht="12.75">
      <c r="S46" t="s">
        <v>86</v>
      </c>
      <c r="AC46" s="9">
        <f>AC44/AC40</f>
        <v>7.889090909090909</v>
      </c>
      <c r="AD46" s="9"/>
      <c r="AE46" s="9"/>
      <c r="AF46" s="9"/>
      <c r="AS46" t="s">
        <v>34</v>
      </c>
      <c r="AV46" s="4">
        <v>1</v>
      </c>
    </row>
    <row r="47" spans="45:48" ht="12.75">
      <c r="AS47" t="s">
        <v>74</v>
      </c>
      <c r="AV47" s="13">
        <f>AV44-AV46</f>
        <v>17.071214565568102</v>
      </c>
    </row>
    <row r="48" spans="45:48" ht="12.75">
      <c r="AS48" t="s">
        <v>36</v>
      </c>
      <c r="AV48" s="3">
        <f>AV47*AC44</f>
        <v>74072</v>
      </c>
    </row>
    <row r="49" spans="45:46" ht="12.75">
      <c r="AS49" s="9"/>
      <c r="AT49" s="9"/>
    </row>
    <row r="50" spans="45:46" ht="12.75">
      <c r="AS50" s="9"/>
      <c r="AT50" s="9"/>
    </row>
    <row r="52" ht="12.75">
      <c r="AV52" s="3"/>
    </row>
  </sheetData>
  <mergeCells count="3">
    <mergeCell ref="D9:AB9"/>
    <mergeCell ref="AG9:AM9"/>
    <mergeCell ref="AO9:AV9"/>
  </mergeCells>
  <printOptions gridLines="1"/>
  <pageMargins left="0.39" right="0.25" top="1" bottom="1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5742187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28" width="6.7109375" style="0" customWidth="1"/>
    <col min="29" max="29" width="6.140625" style="0" customWidth="1"/>
    <col min="30" max="30" width="7.140625" style="0" customWidth="1"/>
    <col min="31" max="31" width="6.57421875" style="0" customWidth="1"/>
    <col min="32" max="32" width="7.28125" style="0" customWidth="1"/>
    <col min="33" max="33" width="7.7109375" style="0" customWidth="1"/>
    <col min="34" max="34" width="4.7109375" style="0" customWidth="1"/>
    <col min="35" max="35" width="7.7109375" style="0" customWidth="1"/>
    <col min="36" max="36" width="6.57421875" style="0" customWidth="1"/>
    <col min="37" max="37" width="6.421875" style="0" customWidth="1"/>
    <col min="38" max="38" width="7.421875" style="0" customWidth="1"/>
    <col min="39" max="40" width="7.7109375" style="0" customWidth="1"/>
    <col min="41" max="41" width="5.28125" style="0" customWidth="1"/>
    <col min="42" max="42" width="8.7109375" style="0" customWidth="1"/>
  </cols>
  <sheetData>
    <row r="1" spans="1:2" ht="12.75">
      <c r="A1" s="14" t="s">
        <v>70</v>
      </c>
      <c r="B1" s="14"/>
    </row>
    <row r="2" ht="12.75">
      <c r="A2" s="14"/>
    </row>
    <row r="3" spans="1:17" ht="12.75">
      <c r="A3" s="14"/>
      <c r="B3" s="21" t="s">
        <v>60</v>
      </c>
      <c r="C3" s="22"/>
      <c r="D3" s="22"/>
      <c r="E3" s="22"/>
      <c r="F3" s="22"/>
      <c r="G3" s="22"/>
      <c r="H3" s="21">
        <v>2000</v>
      </c>
      <c r="I3" s="21"/>
      <c r="J3" s="21">
        <v>2001</v>
      </c>
      <c r="K3" s="21"/>
      <c r="L3" s="21">
        <v>2002</v>
      </c>
      <c r="M3" s="22"/>
      <c r="N3" s="21">
        <v>2003</v>
      </c>
      <c r="O3" s="22"/>
      <c r="P3" s="21" t="s">
        <v>71</v>
      </c>
      <c r="Q3" s="22"/>
    </row>
    <row r="4" spans="1:17" ht="12.75">
      <c r="A4" s="14"/>
      <c r="B4" s="21"/>
      <c r="C4" s="22" t="s">
        <v>63</v>
      </c>
      <c r="D4" s="22"/>
      <c r="E4" s="22"/>
      <c r="F4" s="22"/>
      <c r="G4" s="22"/>
      <c r="H4" s="23">
        <v>25</v>
      </c>
      <c r="I4" s="23"/>
      <c r="J4" s="23">
        <v>51</v>
      </c>
      <c r="K4" s="23"/>
      <c r="L4" s="23">
        <v>55</v>
      </c>
      <c r="M4" s="22"/>
      <c r="N4" s="22">
        <v>62</v>
      </c>
      <c r="O4" s="22"/>
      <c r="P4" s="22"/>
      <c r="Q4" s="22"/>
    </row>
    <row r="5" spans="1:17" ht="12.75">
      <c r="A5" s="14"/>
      <c r="B5" s="21"/>
      <c r="C5" s="22" t="s">
        <v>109</v>
      </c>
      <c r="D5" s="22"/>
      <c r="E5" s="22"/>
      <c r="F5" s="22"/>
      <c r="G5" s="22"/>
      <c r="H5" s="24" t="s">
        <v>61</v>
      </c>
      <c r="I5" s="22"/>
      <c r="J5" s="25" t="s">
        <v>62</v>
      </c>
      <c r="K5" s="22"/>
      <c r="L5" s="26" t="s">
        <v>73</v>
      </c>
      <c r="M5" s="22"/>
      <c r="N5" s="26" t="s">
        <v>69</v>
      </c>
      <c r="O5" s="22"/>
      <c r="P5" s="27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65</v>
      </c>
      <c r="AO8" s="28" t="s">
        <v>72</v>
      </c>
    </row>
    <row r="9" spans="4:45" ht="12.75">
      <c r="D9" t="s">
        <v>87</v>
      </c>
      <c r="AB9" t="s">
        <v>35</v>
      </c>
      <c r="AI9" t="s">
        <v>13</v>
      </c>
      <c r="AS9" t="s">
        <v>101</v>
      </c>
    </row>
    <row r="10" spans="2:45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s="6" t="s">
        <v>3</v>
      </c>
      <c r="AC10" s="6" t="s">
        <v>4</v>
      </c>
      <c r="AD10" s="6" t="s">
        <v>2</v>
      </c>
      <c r="AE10" s="7" t="s">
        <v>5</v>
      </c>
      <c r="AF10" s="6" t="s">
        <v>6</v>
      </c>
      <c r="AG10" s="6" t="s">
        <v>66</v>
      </c>
      <c r="AH10" s="6" t="s">
        <v>68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66</v>
      </c>
      <c r="AO10" s="6" t="s">
        <v>67</v>
      </c>
      <c r="AP10" s="8" t="s">
        <v>9</v>
      </c>
      <c r="AS10" t="s">
        <v>102</v>
      </c>
    </row>
    <row r="11" spans="4:45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  <c r="AS11" s="20">
        <f>SUM(AB11:AF11)</f>
        <v>615</v>
      </c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 aca="true" t="shared" si="31" ref="AB40:AH40">SUM(AB12:AB39)</f>
        <v>3</v>
      </c>
      <c r="AC40">
        <f t="shared" si="31"/>
        <v>36</v>
      </c>
      <c r="AD40">
        <f t="shared" si="31"/>
        <v>245</v>
      </c>
      <c r="AE40">
        <f t="shared" si="31"/>
        <v>102</v>
      </c>
      <c r="AF40">
        <f t="shared" si="31"/>
        <v>19</v>
      </c>
      <c r="AG40">
        <f t="shared" si="31"/>
        <v>5</v>
      </c>
      <c r="AH40">
        <f t="shared" si="31"/>
        <v>4</v>
      </c>
    </row>
    <row r="41" spans="24:42" ht="12.75">
      <c r="X41" t="s">
        <v>77</v>
      </c>
      <c r="AA41">
        <f>SUM(AA12:AA40)</f>
        <v>414</v>
      </c>
      <c r="AF41" t="s">
        <v>77</v>
      </c>
      <c r="AH41">
        <f>SUM(AB40:AH40)</f>
        <v>414</v>
      </c>
      <c r="AL41" t="s">
        <v>37</v>
      </c>
      <c r="AP41" s="3">
        <f>SUM(AP12:AP40)</f>
        <v>56592</v>
      </c>
    </row>
    <row r="42" spans="1:42" ht="12.75">
      <c r="A42" t="s">
        <v>32</v>
      </c>
      <c r="D42">
        <f aca="true" t="shared" si="32" ref="D42:Z42">D40*D10</f>
        <v>0</v>
      </c>
      <c r="E42">
        <f t="shared" si="32"/>
        <v>6</v>
      </c>
      <c r="F42">
        <f t="shared" si="32"/>
        <v>18</v>
      </c>
      <c r="G42">
        <f t="shared" si="32"/>
        <v>120</v>
      </c>
      <c r="H42">
        <f t="shared" si="32"/>
        <v>125</v>
      </c>
      <c r="I42">
        <f t="shared" si="32"/>
        <v>444</v>
      </c>
      <c r="J42">
        <f t="shared" si="32"/>
        <v>539</v>
      </c>
      <c r="K42">
        <f t="shared" si="32"/>
        <v>552</v>
      </c>
      <c r="L42">
        <f t="shared" si="32"/>
        <v>351</v>
      </c>
      <c r="M42">
        <f t="shared" si="32"/>
        <v>330</v>
      </c>
      <c r="N42">
        <f t="shared" si="32"/>
        <v>242</v>
      </c>
      <c r="O42">
        <f t="shared" si="32"/>
        <v>96</v>
      </c>
      <c r="P42">
        <f t="shared" si="32"/>
        <v>91</v>
      </c>
      <c r="Q42">
        <f t="shared" si="32"/>
        <v>56</v>
      </c>
      <c r="R42">
        <f t="shared" si="32"/>
        <v>90</v>
      </c>
      <c r="S42">
        <f t="shared" si="32"/>
        <v>32</v>
      </c>
      <c r="T42">
        <f t="shared" si="32"/>
        <v>17</v>
      </c>
      <c r="U42">
        <f t="shared" si="32"/>
        <v>54</v>
      </c>
      <c r="V42">
        <f t="shared" si="32"/>
        <v>19</v>
      </c>
      <c r="W42">
        <f t="shared" si="32"/>
        <v>24</v>
      </c>
      <c r="X42">
        <f t="shared" si="32"/>
        <v>27</v>
      </c>
      <c r="Y42">
        <f t="shared" si="32"/>
        <v>28</v>
      </c>
      <c r="Z42">
        <f t="shared" si="32"/>
        <v>34</v>
      </c>
      <c r="AL42" t="s">
        <v>38</v>
      </c>
      <c r="AP42" s="4">
        <f>AP41/AA41</f>
        <v>136.69565217391303</v>
      </c>
    </row>
    <row r="43" spans="24:42" ht="12.75">
      <c r="X43" t="s">
        <v>77</v>
      </c>
      <c r="AA43">
        <f>SUM(D42:Z42)</f>
        <v>3295</v>
      </c>
      <c r="AL43" t="s">
        <v>39</v>
      </c>
      <c r="AP43" s="4">
        <f>AP41/AA43</f>
        <v>17.175113808801214</v>
      </c>
    </row>
    <row r="44" spans="5:26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7:42" ht="12.75">
      <c r="AA45" s="9"/>
      <c r="AM45" t="s">
        <v>34</v>
      </c>
      <c r="AP45" s="4">
        <v>1</v>
      </c>
    </row>
    <row r="46" spans="5:42" ht="12.75">
      <c r="E46" s="9"/>
      <c r="F46" s="9"/>
      <c r="G46" s="9"/>
      <c r="H46" s="9"/>
      <c r="I46" s="9"/>
      <c r="J46" s="9"/>
      <c r="K46" s="9"/>
      <c r="L46" s="9"/>
      <c r="M46" s="9"/>
      <c r="N46" s="9"/>
      <c r="AM46" t="s">
        <v>74</v>
      </c>
      <c r="AP46" s="13">
        <f>AP43-AP45</f>
        <v>16.175113808801214</v>
      </c>
    </row>
    <row r="47" spans="39:42" ht="12.75">
      <c r="AM47" t="s">
        <v>36</v>
      </c>
      <c r="AP47" s="3">
        <f>AP46*AA43</f>
        <v>53297</v>
      </c>
    </row>
    <row r="48" spans="39:40" ht="12.75">
      <c r="AM48" s="9"/>
      <c r="AN48" s="9"/>
    </row>
    <row r="49" ht="12.75">
      <c r="J49" s="9"/>
    </row>
    <row r="50" ht="12.75">
      <c r="AP50" s="3"/>
    </row>
  </sheetData>
  <printOptions gridLines="1"/>
  <pageMargins left="0.3" right="0.2" top="1.03" bottom="0.64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75</v>
      </c>
      <c r="B1" s="14"/>
    </row>
    <row r="2" ht="12.75">
      <c r="A2" s="14"/>
    </row>
    <row r="3" spans="1:12" ht="12.75">
      <c r="A3" s="14"/>
      <c r="B3" s="14" t="s">
        <v>60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63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109</v>
      </c>
      <c r="H5" s="18" t="s">
        <v>61</v>
      </c>
      <c r="J5" s="17" t="s">
        <v>62</v>
      </c>
      <c r="L5" s="16" t="s">
        <v>73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64</v>
      </c>
    </row>
    <row r="9" spans="4:36" ht="12.75">
      <c r="D9" t="s">
        <v>40</v>
      </c>
      <c r="V9" t="s">
        <v>35</v>
      </c>
      <c r="AA9" t="s">
        <v>13</v>
      </c>
      <c r="AJ9" t="s">
        <v>101</v>
      </c>
    </row>
    <row r="10" spans="2:36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  <c r="AJ10" t="s">
        <v>102</v>
      </c>
    </row>
    <row r="11" spans="4:36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  <c r="AJ11" s="11">
        <f>SUM(V11:Z11)</f>
        <v>466</v>
      </c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37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38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39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74</v>
      </c>
      <c r="AG46" s="13">
        <f>(AG41-(AG45*U43))/(AG45*U43)</f>
        <v>12.675821889305036</v>
      </c>
    </row>
    <row r="47" spans="31:33" ht="12.75">
      <c r="AE47" t="s">
        <v>36</v>
      </c>
      <c r="AG47" s="3">
        <f>U43*AG46</f>
        <v>30460</v>
      </c>
    </row>
    <row r="48" ht="12.75">
      <c r="AE48" s="9"/>
    </row>
    <row r="50" ht="12.75">
      <c r="AG50" s="3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pane xSplit="2" topLeftCell="C1" activePane="topRight" state="frozen"/>
      <selection pane="topLeft" activeCell="A1" sqref="A1"/>
      <selection pane="topRight" activeCell="AI2" sqref="AI2:AI4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75</v>
      </c>
    </row>
    <row r="2" spans="3:35" ht="12.75">
      <c r="C2" t="s">
        <v>40</v>
      </c>
      <c r="U2" t="s">
        <v>35</v>
      </c>
      <c r="Z2" t="s">
        <v>13</v>
      </c>
      <c r="AI2" t="s">
        <v>101</v>
      </c>
    </row>
    <row r="3" spans="3:35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  <c r="AI3" t="s">
        <v>102</v>
      </c>
    </row>
    <row r="4" spans="3:35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  <c r="AI4" s="11">
        <f>SUM(U4:Y4)</f>
        <v>444</v>
      </c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37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38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39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74</v>
      </c>
      <c r="AF39" s="13">
        <f>(AF34-(AF38*T36))/(AF38*T36)</f>
        <v>12.07907949790795</v>
      </c>
    </row>
    <row r="40" spans="30:32" ht="12.75">
      <c r="AD40" t="s">
        <v>36</v>
      </c>
      <c r="AF40" s="3">
        <f>T36*AF39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IFAS Entomology &amp; Nematology</cp:lastModifiedBy>
  <cp:lastPrinted>2007-04-02T02:30:45Z</cp:lastPrinted>
  <dcterms:created xsi:type="dcterms:W3CDTF">2002-01-17T16:48:18Z</dcterms:created>
  <dcterms:modified xsi:type="dcterms:W3CDTF">2009-05-25T16:24:48Z</dcterms:modified>
  <cp:category/>
  <cp:version/>
  <cp:contentType/>
  <cp:contentStatus/>
</cp:coreProperties>
</file>